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vk797\Documents\Årsmøte RNV 2025\"/>
    </mc:Choice>
  </mc:AlternateContent>
  <xr:revisionPtr revIDLastSave="0" documentId="13_ncr:1_{43BBA9C8-7C45-4043-87AD-F79311251BC3}" xr6:coauthVersionLast="47" xr6:coauthVersionMax="47" xr10:uidLastSave="{00000000-0000-0000-0000-000000000000}"/>
  <bookViews>
    <workbookView xWindow="-110" yWindow="-110" windowWidth="19420" windowHeight="11500" tabRatio="945" xr2:uid="{00000000-000D-0000-FFFF-FFFF00000000}"/>
  </bookViews>
  <sheets>
    <sheet name="2024" sheetId="9" r:id="rId1"/>
    <sheet name="06-07" sheetId="1" r:id="rId2"/>
    <sheet name="Mid 08" sheetId="2" r:id="rId3"/>
    <sheet name="07-08" sheetId="3" r:id="rId4"/>
    <sheet name="08-09" sheetId="4" r:id="rId5"/>
    <sheet name="09-10" sheetId="5" r:id="rId6"/>
    <sheet name="-18" sheetId="6" r:id="rId7"/>
    <sheet name="18-19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H48" i="9" l="1"/>
  <c r="AH50" i="9" s="1"/>
  <c r="AH33" i="9"/>
  <c r="AI33" i="9" s="1"/>
  <c r="AH32" i="9"/>
  <c r="AI32" i="9" s="1"/>
  <c r="AH21" i="9"/>
  <c r="AI21" i="9" s="1"/>
  <c r="AH13" i="9"/>
  <c r="AH14" i="9" s="1"/>
  <c r="AI14" i="9" s="1"/>
  <c r="AI39" i="9"/>
  <c r="AJ35" i="9"/>
  <c r="AI34" i="9"/>
  <c r="AI31" i="9"/>
  <c r="AI30" i="9"/>
  <c r="AI29" i="9"/>
  <c r="AI28" i="9"/>
  <c r="AI27" i="9"/>
  <c r="AI26" i="9"/>
  <c r="AI25" i="9"/>
  <c r="AI24" i="9"/>
  <c r="AI23" i="9"/>
  <c r="AI22" i="9"/>
  <c r="AI20" i="9"/>
  <c r="AI19" i="9"/>
  <c r="AI18" i="9"/>
  <c r="AI17" i="9"/>
  <c r="AI16" i="9"/>
  <c r="AI15" i="9"/>
  <c r="AJ14" i="9"/>
  <c r="AI13" i="9"/>
  <c r="AI12" i="9"/>
  <c r="AI10" i="9"/>
  <c r="AI9" i="9"/>
  <c r="AI8" i="9"/>
  <c r="AI7" i="9"/>
  <c r="AI6" i="9"/>
  <c r="T56" i="9"/>
  <c r="AE52" i="9"/>
  <c r="Y52" i="9"/>
  <c r="K52" i="9"/>
  <c r="D52" i="9"/>
  <c r="C52" i="9"/>
  <c r="S50" i="9"/>
  <c r="R50" i="9"/>
  <c r="Q50" i="9"/>
  <c r="P50" i="9"/>
  <c r="O50" i="9"/>
  <c r="N50" i="9"/>
  <c r="M50" i="9"/>
  <c r="L50" i="9"/>
  <c r="K50" i="9"/>
  <c r="J50" i="9"/>
  <c r="I50" i="9"/>
  <c r="H50" i="9"/>
  <c r="G50" i="9"/>
  <c r="F50" i="9"/>
  <c r="E50" i="9"/>
  <c r="AE48" i="9"/>
  <c r="AE50" i="9" s="1"/>
  <c r="AB48" i="9"/>
  <c r="AB50" i="9" s="1"/>
  <c r="Y48" i="9"/>
  <c r="Y50" i="9" s="1"/>
  <c r="W48" i="9"/>
  <c r="W50" i="9" s="1"/>
  <c r="T48" i="9"/>
  <c r="T50" i="9" s="1"/>
  <c r="D48" i="9"/>
  <c r="D50" i="9" s="1"/>
  <c r="C48" i="9"/>
  <c r="C50" i="9" s="1"/>
  <c r="AF39" i="9"/>
  <c r="AC39" i="9"/>
  <c r="Z39" i="9"/>
  <c r="AG35" i="9"/>
  <c r="AD35" i="9"/>
  <c r="AA35" i="9"/>
  <c r="X35" i="9"/>
  <c r="V35" i="9"/>
  <c r="U35" i="9"/>
  <c r="S35" i="9"/>
  <c r="R35" i="9"/>
  <c r="Q35" i="9"/>
  <c r="P35" i="9"/>
  <c r="O35" i="9"/>
  <c r="N35" i="9"/>
  <c r="M35" i="9"/>
  <c r="L35" i="9"/>
  <c r="K35" i="9"/>
  <c r="J35" i="9"/>
  <c r="I35" i="9"/>
  <c r="G35" i="9"/>
  <c r="F35" i="9"/>
  <c r="E35" i="9"/>
  <c r="AF34" i="9"/>
  <c r="AC34" i="9"/>
  <c r="Z34" i="9"/>
  <c r="AE33" i="9"/>
  <c r="AF33" i="9" s="1"/>
  <c r="AB33" i="9"/>
  <c r="AC33" i="9" s="1"/>
  <c r="Z33" i="9"/>
  <c r="Y33" i="9"/>
  <c r="Y35" i="9" s="1"/>
  <c r="W33" i="9"/>
  <c r="T33" i="9"/>
  <c r="T35" i="9" s="1"/>
  <c r="AF32" i="9"/>
  <c r="AB32" i="9"/>
  <c r="Z32" i="9"/>
  <c r="W32" i="9"/>
  <c r="C32" i="9"/>
  <c r="AF31" i="9"/>
  <c r="AC31" i="9"/>
  <c r="Z31" i="9"/>
  <c r="AF30" i="9"/>
  <c r="AC30" i="9"/>
  <c r="Z30" i="9"/>
  <c r="AE29" i="9"/>
  <c r="AE35" i="9" s="1"/>
  <c r="AC29" i="9"/>
  <c r="Z29" i="9"/>
  <c r="W29" i="9"/>
  <c r="AF28" i="9"/>
  <c r="AC28" i="9"/>
  <c r="Z28" i="9"/>
  <c r="AF27" i="9"/>
  <c r="AC27" i="9"/>
  <c r="Z27" i="9"/>
  <c r="AF26" i="9"/>
  <c r="AC26" i="9"/>
  <c r="Z26" i="9"/>
  <c r="H26" i="9"/>
  <c r="H35" i="9" s="1"/>
  <c r="C26" i="9"/>
  <c r="AF25" i="9"/>
  <c r="AC25" i="9"/>
  <c r="Z25" i="9"/>
  <c r="AF24" i="9"/>
  <c r="AC24" i="9"/>
  <c r="Z24" i="9"/>
  <c r="AF23" i="9"/>
  <c r="AC23" i="9"/>
  <c r="Z23" i="9"/>
  <c r="AF22" i="9"/>
  <c r="AC22" i="9"/>
  <c r="Z22" i="9"/>
  <c r="AF21" i="9"/>
  <c r="AB21" i="9"/>
  <c r="AC21" i="9" s="1"/>
  <c r="Z21" i="9"/>
  <c r="W21" i="9"/>
  <c r="AF20" i="9"/>
  <c r="AC20" i="9"/>
  <c r="Z20" i="9"/>
  <c r="AF19" i="9"/>
  <c r="AC19" i="9"/>
  <c r="Z19" i="9"/>
  <c r="AF18" i="9"/>
  <c r="AC18" i="9"/>
  <c r="Z18" i="9"/>
  <c r="AF17" i="9"/>
  <c r="AC17" i="9"/>
  <c r="Z17" i="9"/>
  <c r="AF16" i="9"/>
  <c r="AC16" i="9"/>
  <c r="Z16" i="9"/>
  <c r="D16" i="9"/>
  <c r="D35" i="9" s="1"/>
  <c r="AF15" i="9"/>
  <c r="AC15" i="9"/>
  <c r="Z15" i="9"/>
  <c r="AG14" i="9"/>
  <c r="AG37" i="9" s="1"/>
  <c r="AG41" i="9" s="1"/>
  <c r="AD14" i="9"/>
  <c r="AD37" i="9" s="1"/>
  <c r="AD41" i="9" s="1"/>
  <c r="AA14" i="9"/>
  <c r="AA37" i="9" s="1"/>
  <c r="AA41" i="9" s="1"/>
  <c r="X14" i="9"/>
  <c r="X37" i="9" s="1"/>
  <c r="X41" i="9" s="1"/>
  <c r="V14" i="9"/>
  <c r="V37" i="9" s="1"/>
  <c r="V41" i="9" s="1"/>
  <c r="V57" i="9" s="1"/>
  <c r="U14" i="9"/>
  <c r="U37" i="9" s="1"/>
  <c r="U41" i="9" s="1"/>
  <c r="U57" i="9" s="1"/>
  <c r="AE13" i="9"/>
  <c r="AF13" i="9" s="1"/>
  <c r="AB13" i="9"/>
  <c r="AB14" i="9" s="1"/>
  <c r="Y13" i="9"/>
  <c r="W13" i="9"/>
  <c r="W14" i="9" s="1"/>
  <c r="T13" i="9"/>
  <c r="I13" i="9"/>
  <c r="AF12" i="9"/>
  <c r="AC12" i="9"/>
  <c r="Z12" i="9"/>
  <c r="AF10" i="9"/>
  <c r="AC10" i="9"/>
  <c r="Z10" i="9"/>
  <c r="AF9" i="9"/>
  <c r="AC9" i="9"/>
  <c r="Z9" i="9"/>
  <c r="AF8" i="9"/>
  <c r="AC8" i="9"/>
  <c r="Z8" i="9"/>
  <c r="U8" i="9"/>
  <c r="U63" i="9" s="1"/>
  <c r="U66" i="9" s="1"/>
  <c r="T8" i="9"/>
  <c r="S8" i="9"/>
  <c r="S14" i="9" s="1"/>
  <c r="S37" i="9" s="1"/>
  <c r="S41" i="9" s="1"/>
  <c r="S57" i="9" s="1"/>
  <c r="R8" i="9"/>
  <c r="R63" i="9" s="1"/>
  <c r="R66" i="9" s="1"/>
  <c r="Q8" i="9"/>
  <c r="Q14" i="9" s="1"/>
  <c r="Q37" i="9" s="1"/>
  <c r="Q41" i="9" s="1"/>
  <c r="Q57" i="9" s="1"/>
  <c r="O8" i="9"/>
  <c r="O14" i="9" s="1"/>
  <c r="N8" i="9"/>
  <c r="N14" i="9" s="1"/>
  <c r="N37" i="9" s="1"/>
  <c r="N41" i="9" s="1"/>
  <c r="N57" i="9" s="1"/>
  <c r="M8" i="9"/>
  <c r="M14" i="9" s="1"/>
  <c r="M37" i="9" s="1"/>
  <c r="M41" i="9" s="1"/>
  <c r="M57" i="9" s="1"/>
  <c r="L8" i="9"/>
  <c r="L14" i="9" s="1"/>
  <c r="L37" i="9" s="1"/>
  <c r="L41" i="9" s="1"/>
  <c r="L57" i="9" s="1"/>
  <c r="K8" i="9"/>
  <c r="K14" i="9" s="1"/>
  <c r="K37" i="9" s="1"/>
  <c r="K41" i="9" s="1"/>
  <c r="K57" i="9" s="1"/>
  <c r="J8" i="9"/>
  <c r="J14" i="9" s="1"/>
  <c r="J37" i="9" s="1"/>
  <c r="J41" i="9" s="1"/>
  <c r="J57" i="9" s="1"/>
  <c r="I8" i="9"/>
  <c r="I63" i="9" s="1"/>
  <c r="I66" i="9" s="1"/>
  <c r="H8" i="9"/>
  <c r="H14" i="9" s="1"/>
  <c r="G8" i="9"/>
  <c r="G63" i="9" s="1"/>
  <c r="G66" i="9" s="1"/>
  <c r="F8" i="9"/>
  <c r="F63" i="9" s="1"/>
  <c r="F66" i="9" s="1"/>
  <c r="E8" i="9"/>
  <c r="E14" i="9" s="1"/>
  <c r="E37" i="9" s="1"/>
  <c r="E41" i="9" s="1"/>
  <c r="E57" i="9" s="1"/>
  <c r="C8" i="9"/>
  <c r="C63" i="9" s="1"/>
  <c r="C66" i="9" s="1"/>
  <c r="AF7" i="9"/>
  <c r="AC7" i="9"/>
  <c r="Z7" i="9"/>
  <c r="D7" i="9"/>
  <c r="D8" i="9" s="1"/>
  <c r="D63" i="9" s="1"/>
  <c r="D66" i="9" s="1"/>
  <c r="AF6" i="9"/>
  <c r="AC6" i="9"/>
  <c r="Z6" i="9"/>
  <c r="P6" i="9"/>
  <c r="P8" i="9" s="1"/>
  <c r="P14" i="9" s="1"/>
  <c r="P37" i="9" s="1"/>
  <c r="P41" i="9" s="1"/>
  <c r="P57" i="9" s="1"/>
  <c r="P6" i="7"/>
  <c r="P8" i="7"/>
  <c r="P13" i="7" s="1"/>
  <c r="D7" i="7"/>
  <c r="D8" i="7" s="1"/>
  <c r="C8" i="7"/>
  <c r="C60" i="7" s="1"/>
  <c r="C63" i="7" s="1"/>
  <c r="E8" i="7"/>
  <c r="E13" i="7"/>
  <c r="E35" i="7"/>
  <c r="E39" i="7" s="1"/>
  <c r="E54" i="7" s="1"/>
  <c r="F8" i="7"/>
  <c r="F13" i="7" s="1"/>
  <c r="G8" i="7"/>
  <c r="H8" i="7"/>
  <c r="H13" i="7" s="1"/>
  <c r="I8" i="7"/>
  <c r="I60" i="7" s="1"/>
  <c r="I63" i="7" s="1"/>
  <c r="J8" i="7"/>
  <c r="K8" i="7"/>
  <c r="K13" i="7" s="1"/>
  <c r="L8" i="7"/>
  <c r="L13" i="7" s="1"/>
  <c r="M8" i="7"/>
  <c r="M13" i="7" s="1"/>
  <c r="N8" i="7"/>
  <c r="N13" i="7"/>
  <c r="O8" i="7"/>
  <c r="O13" i="7"/>
  <c r="O35" i="7"/>
  <c r="O39" i="7" s="1"/>
  <c r="O54" i="7" s="1"/>
  <c r="Q8" i="7"/>
  <c r="R8" i="7"/>
  <c r="R60" i="7" s="1"/>
  <c r="R63" i="7" s="1"/>
  <c r="S8" i="7"/>
  <c r="S13" i="7" s="1"/>
  <c r="S35" i="7" s="1"/>
  <c r="S39" i="7" s="1"/>
  <c r="S54" i="7" s="1"/>
  <c r="T8" i="7"/>
  <c r="T60" i="7" s="1"/>
  <c r="T63" i="7" s="1"/>
  <c r="I12" i="7"/>
  <c r="C13" i="7"/>
  <c r="J13" i="7"/>
  <c r="J35" i="7" s="1"/>
  <c r="J39" i="7" s="1"/>
  <c r="J54" i="7" s="1"/>
  <c r="Q13" i="7"/>
  <c r="D15" i="7"/>
  <c r="D33" i="7" s="1"/>
  <c r="C25" i="7"/>
  <c r="C33" i="7" s="1"/>
  <c r="H25" i="7"/>
  <c r="H33" i="7" s="1"/>
  <c r="C31" i="7"/>
  <c r="E33" i="7"/>
  <c r="F33" i="7"/>
  <c r="G33" i="7"/>
  <c r="I33" i="7"/>
  <c r="J33" i="7"/>
  <c r="K33" i="7"/>
  <c r="L33" i="7"/>
  <c r="M33" i="7"/>
  <c r="N33" i="7"/>
  <c r="O33" i="7"/>
  <c r="P33" i="7"/>
  <c r="Q33" i="7"/>
  <c r="Q35" i="7" s="1"/>
  <c r="Q39" i="7" s="1"/>
  <c r="Q54" i="7" s="1"/>
  <c r="R33" i="7"/>
  <c r="S33" i="7"/>
  <c r="T33" i="7"/>
  <c r="C45" i="7"/>
  <c r="C47" i="7" s="1"/>
  <c r="D45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C49" i="7"/>
  <c r="D49" i="7"/>
  <c r="K49" i="7"/>
  <c r="E60" i="7"/>
  <c r="E63" i="7" s="1"/>
  <c r="P6" i="6"/>
  <c r="P8" i="6" s="1"/>
  <c r="P13" i="6" s="1"/>
  <c r="P35" i="6" s="1"/>
  <c r="P39" i="6" s="1"/>
  <c r="P54" i="6" s="1"/>
  <c r="D7" i="6"/>
  <c r="C8" i="6"/>
  <c r="C60" i="6" s="1"/>
  <c r="C63" i="6" s="1"/>
  <c r="D8" i="6"/>
  <c r="D60" i="6" s="1"/>
  <c r="D63" i="6" s="1"/>
  <c r="E8" i="6"/>
  <c r="E60" i="6" s="1"/>
  <c r="E63" i="6" s="1"/>
  <c r="E13" i="6"/>
  <c r="F8" i="6"/>
  <c r="F60" i="6" s="1"/>
  <c r="F63" i="6" s="1"/>
  <c r="G8" i="6"/>
  <c r="G13" i="6" s="1"/>
  <c r="H8" i="6"/>
  <c r="H60" i="6" s="1"/>
  <c r="H63" i="6" s="1"/>
  <c r="I8" i="6"/>
  <c r="I60" i="6" s="1"/>
  <c r="I63" i="6" s="1"/>
  <c r="J8" i="6"/>
  <c r="J13" i="6" s="1"/>
  <c r="J35" i="6" s="1"/>
  <c r="J39" i="6" s="1"/>
  <c r="J54" i="6" s="1"/>
  <c r="K8" i="6"/>
  <c r="K13" i="6" s="1"/>
  <c r="L8" i="6"/>
  <c r="L13" i="6" s="1"/>
  <c r="M8" i="6"/>
  <c r="M13" i="6" s="1"/>
  <c r="N8" i="6"/>
  <c r="N13" i="6" s="1"/>
  <c r="N35" i="6" s="1"/>
  <c r="N39" i="6" s="1"/>
  <c r="N54" i="6" s="1"/>
  <c r="O8" i="6"/>
  <c r="O13" i="6"/>
  <c r="O35" i="6" s="1"/>
  <c r="O39" i="6" s="1"/>
  <c r="O54" i="6" s="1"/>
  <c r="Q8" i="6"/>
  <c r="Q13" i="6" s="1"/>
  <c r="Q35" i="6" s="1"/>
  <c r="Q39" i="6" s="1"/>
  <c r="Q54" i="6" s="1"/>
  <c r="R8" i="6"/>
  <c r="R60" i="6" s="1"/>
  <c r="R63" i="6" s="1"/>
  <c r="S8" i="6"/>
  <c r="S13" i="6" s="1"/>
  <c r="S35" i="6" s="1"/>
  <c r="S39" i="6" s="1"/>
  <c r="S54" i="6" s="1"/>
  <c r="T8" i="6"/>
  <c r="T60" i="6" s="1"/>
  <c r="T63" i="6" s="1"/>
  <c r="I12" i="6"/>
  <c r="D15" i="6"/>
  <c r="C25" i="6"/>
  <c r="H25" i="6"/>
  <c r="H33" i="6" s="1"/>
  <c r="C31" i="6"/>
  <c r="C33" i="6" s="1"/>
  <c r="D33" i="6"/>
  <c r="E33" i="6"/>
  <c r="E35" i="6" s="1"/>
  <c r="E39" i="6" s="1"/>
  <c r="E54" i="6" s="1"/>
  <c r="F33" i="6"/>
  <c r="G33" i="6"/>
  <c r="I33" i="6"/>
  <c r="J33" i="6"/>
  <c r="K33" i="6"/>
  <c r="L33" i="6"/>
  <c r="M33" i="6"/>
  <c r="N33" i="6"/>
  <c r="O33" i="6"/>
  <c r="P33" i="6"/>
  <c r="Q33" i="6"/>
  <c r="R33" i="6"/>
  <c r="S33" i="6"/>
  <c r="T33" i="6"/>
  <c r="C45" i="6"/>
  <c r="C47" i="6" s="1"/>
  <c r="D45" i="6"/>
  <c r="D47" i="6" s="1"/>
  <c r="E47" i="6"/>
  <c r="F47" i="6"/>
  <c r="G47" i="6"/>
  <c r="H47" i="6"/>
  <c r="I47" i="6"/>
  <c r="J47" i="6"/>
  <c r="K47" i="6"/>
  <c r="L47" i="6"/>
  <c r="M47" i="6"/>
  <c r="N47" i="6"/>
  <c r="O47" i="6"/>
  <c r="P47" i="6"/>
  <c r="Q47" i="6"/>
  <c r="R47" i="6"/>
  <c r="S47" i="6"/>
  <c r="T47" i="6"/>
  <c r="C49" i="6"/>
  <c r="D49" i="6"/>
  <c r="K49" i="6"/>
  <c r="D7" i="5"/>
  <c r="D8" i="5" s="1"/>
  <c r="D61" i="5" s="1"/>
  <c r="D64" i="5" s="1"/>
  <c r="C8" i="5"/>
  <c r="C61" i="5" s="1"/>
  <c r="C64" i="5" s="1"/>
  <c r="E8" i="5"/>
  <c r="E13" i="5" s="1"/>
  <c r="F8" i="5"/>
  <c r="G8" i="5"/>
  <c r="G13" i="5"/>
  <c r="H8" i="5"/>
  <c r="H61" i="5"/>
  <c r="H64" i="5"/>
  <c r="I8" i="5"/>
  <c r="I61" i="5" s="1"/>
  <c r="I64" i="5" s="1"/>
  <c r="J8" i="5"/>
  <c r="J13" i="5" s="1"/>
  <c r="J35" i="5" s="1"/>
  <c r="J39" i="5" s="1"/>
  <c r="J54" i="5" s="1"/>
  <c r="K8" i="5"/>
  <c r="K13" i="5" s="1"/>
  <c r="K35" i="5" s="1"/>
  <c r="K39" i="5" s="1"/>
  <c r="K54" i="5" s="1"/>
  <c r="L8" i="5"/>
  <c r="L13" i="5" s="1"/>
  <c r="L35" i="5" s="1"/>
  <c r="L39" i="5" s="1"/>
  <c r="L54" i="5" s="1"/>
  <c r="I12" i="5"/>
  <c r="F13" i="5"/>
  <c r="D15" i="5"/>
  <c r="D33" i="5" s="1"/>
  <c r="C25" i="5"/>
  <c r="H25" i="5"/>
  <c r="C31" i="5"/>
  <c r="C33" i="5" s="1"/>
  <c r="E33" i="5"/>
  <c r="F33" i="5"/>
  <c r="G33" i="5"/>
  <c r="H33" i="5"/>
  <c r="I33" i="5"/>
  <c r="J33" i="5"/>
  <c r="K33" i="5"/>
  <c r="L33" i="5"/>
  <c r="C45" i="5"/>
  <c r="D45" i="5"/>
  <c r="D47" i="5"/>
  <c r="C47" i="5"/>
  <c r="E47" i="5"/>
  <c r="F47" i="5"/>
  <c r="G47" i="5"/>
  <c r="H47" i="5"/>
  <c r="I47" i="5"/>
  <c r="J47" i="5"/>
  <c r="K47" i="5"/>
  <c r="L47" i="5"/>
  <c r="C49" i="5"/>
  <c r="D49" i="5"/>
  <c r="F61" i="5"/>
  <c r="F64" i="5"/>
  <c r="G61" i="5"/>
  <c r="G64" i="5" s="1"/>
  <c r="D7" i="4"/>
  <c r="C8" i="4"/>
  <c r="C62" i="4" s="1"/>
  <c r="C65" i="4" s="1"/>
  <c r="D8" i="4"/>
  <c r="D62" i="4" s="1"/>
  <c r="D65" i="4" s="1"/>
  <c r="E8" i="4"/>
  <c r="E62" i="4" s="1"/>
  <c r="E65" i="4" s="1"/>
  <c r="F8" i="4"/>
  <c r="F13" i="4" s="1"/>
  <c r="F36" i="4" s="1"/>
  <c r="F40" i="4" s="1"/>
  <c r="F55" i="4" s="1"/>
  <c r="G8" i="4"/>
  <c r="H8" i="4"/>
  <c r="I8" i="4"/>
  <c r="I13" i="4" s="1"/>
  <c r="I36" i="4" s="1"/>
  <c r="I40" i="4" s="1"/>
  <c r="I55" i="4" s="1"/>
  <c r="J8" i="4"/>
  <c r="K8" i="4"/>
  <c r="K62" i="4" s="1"/>
  <c r="K65" i="4" s="1"/>
  <c r="I12" i="4"/>
  <c r="G13" i="4"/>
  <c r="G36" i="4" s="1"/>
  <c r="G40" i="4" s="1"/>
  <c r="G55" i="4" s="1"/>
  <c r="J13" i="4"/>
  <c r="J36" i="4" s="1"/>
  <c r="J40" i="4" s="1"/>
  <c r="J55" i="4" s="1"/>
  <c r="D15" i="4"/>
  <c r="D34" i="4" s="1"/>
  <c r="C26" i="4"/>
  <c r="C34" i="4" s="1"/>
  <c r="H26" i="4"/>
  <c r="H34" i="4"/>
  <c r="C32" i="4"/>
  <c r="E34" i="4"/>
  <c r="F34" i="4"/>
  <c r="G34" i="4"/>
  <c r="I34" i="4"/>
  <c r="J34" i="4"/>
  <c r="K34" i="4"/>
  <c r="C46" i="4"/>
  <c r="D46" i="4"/>
  <c r="D48" i="4" s="1"/>
  <c r="C48" i="4"/>
  <c r="E48" i="4"/>
  <c r="F48" i="4"/>
  <c r="G48" i="4"/>
  <c r="H48" i="4"/>
  <c r="I48" i="4"/>
  <c r="J48" i="4"/>
  <c r="C50" i="4"/>
  <c r="D50" i="4"/>
  <c r="G62" i="4"/>
  <c r="G65" i="4" s="1"/>
  <c r="D7" i="3"/>
  <c r="D8" i="3" s="1"/>
  <c r="C8" i="3"/>
  <c r="E8" i="3"/>
  <c r="E61" i="3" s="1"/>
  <c r="E64" i="3" s="1"/>
  <c r="E13" i="3"/>
  <c r="E35" i="3" s="1"/>
  <c r="E39" i="3" s="1"/>
  <c r="E54" i="3" s="1"/>
  <c r="F8" i="3"/>
  <c r="G8" i="3"/>
  <c r="G13" i="3" s="1"/>
  <c r="G35" i="3" s="1"/>
  <c r="G39" i="3" s="1"/>
  <c r="G54" i="3" s="1"/>
  <c r="H8" i="3"/>
  <c r="H13" i="3"/>
  <c r="I8" i="3"/>
  <c r="I13" i="3" s="1"/>
  <c r="I35" i="3" s="1"/>
  <c r="I39" i="3" s="1"/>
  <c r="I54" i="3" s="1"/>
  <c r="J8" i="3"/>
  <c r="J61" i="3" s="1"/>
  <c r="J64" i="3" s="1"/>
  <c r="I12" i="3"/>
  <c r="J13" i="3"/>
  <c r="J35" i="3"/>
  <c r="J39" i="3" s="1"/>
  <c r="J54" i="3" s="1"/>
  <c r="D15" i="3"/>
  <c r="D33" i="3" s="1"/>
  <c r="C26" i="3"/>
  <c r="H26" i="3"/>
  <c r="H33" i="3" s="1"/>
  <c r="C31" i="3"/>
  <c r="E33" i="3"/>
  <c r="F33" i="3"/>
  <c r="G33" i="3"/>
  <c r="I33" i="3"/>
  <c r="J33" i="3"/>
  <c r="C45" i="3"/>
  <c r="D45" i="3"/>
  <c r="D47" i="3"/>
  <c r="C47" i="3"/>
  <c r="E47" i="3"/>
  <c r="F47" i="3"/>
  <c r="G47" i="3"/>
  <c r="H47" i="3"/>
  <c r="I47" i="3"/>
  <c r="C49" i="3"/>
  <c r="D49" i="3"/>
  <c r="B22" i="2"/>
  <c r="D7" i="1"/>
  <c r="C8" i="1"/>
  <c r="C60" i="1" s="1"/>
  <c r="C63" i="1" s="1"/>
  <c r="D8" i="1"/>
  <c r="D60" i="1" s="1"/>
  <c r="D63" i="1" s="1"/>
  <c r="E8" i="1"/>
  <c r="E13" i="1" s="1"/>
  <c r="E34" i="1" s="1"/>
  <c r="E38" i="1" s="1"/>
  <c r="E53" i="1" s="1"/>
  <c r="F8" i="1"/>
  <c r="G8" i="1"/>
  <c r="G13" i="1" s="1"/>
  <c r="G34" i="1" s="1"/>
  <c r="G38" i="1" s="1"/>
  <c r="G53" i="1" s="1"/>
  <c r="H8" i="1"/>
  <c r="H60" i="1" s="1"/>
  <c r="H63" i="1" s="1"/>
  <c r="I8" i="1"/>
  <c r="I60" i="1"/>
  <c r="I63" i="1" s="1"/>
  <c r="D15" i="1"/>
  <c r="D32" i="1"/>
  <c r="C25" i="1"/>
  <c r="H25" i="1"/>
  <c r="H32" i="1" s="1"/>
  <c r="C30" i="1"/>
  <c r="C32" i="1" s="1"/>
  <c r="E32" i="1"/>
  <c r="F32" i="1"/>
  <c r="G32" i="1"/>
  <c r="I32" i="1"/>
  <c r="C44" i="1"/>
  <c r="C46" i="1" s="1"/>
  <c r="D44" i="1"/>
  <c r="D46" i="1"/>
  <c r="E46" i="1"/>
  <c r="F46" i="1"/>
  <c r="G46" i="1"/>
  <c r="H46" i="1"/>
  <c r="C48" i="1"/>
  <c r="D48" i="1"/>
  <c r="K13" i="4"/>
  <c r="K36" i="4" s="1"/>
  <c r="K40" i="4" s="1"/>
  <c r="K55" i="4" s="1"/>
  <c r="C13" i="3"/>
  <c r="C61" i="3"/>
  <c r="C64" i="3" s="1"/>
  <c r="G13" i="7"/>
  <c r="G35" i="7"/>
  <c r="G39" i="7" s="1"/>
  <c r="G54" i="7" s="1"/>
  <c r="G60" i="7"/>
  <c r="G63" i="7"/>
  <c r="H13" i="4"/>
  <c r="H62" i="4"/>
  <c r="H65" i="4"/>
  <c r="H13" i="1"/>
  <c r="I61" i="3"/>
  <c r="I64" i="3" s="1"/>
  <c r="I13" i="1"/>
  <c r="I34" i="1" s="1"/>
  <c r="I38" i="1" s="1"/>
  <c r="I53" i="1" s="1"/>
  <c r="H61" i="3"/>
  <c r="H64" i="3" s="1"/>
  <c r="H13" i="5"/>
  <c r="G35" i="6" l="1"/>
  <c r="G39" i="6" s="1"/>
  <c r="G54" i="6" s="1"/>
  <c r="C13" i="1"/>
  <c r="C34" i="1" s="1"/>
  <c r="C38" i="1" s="1"/>
  <c r="C53" i="1" s="1"/>
  <c r="C54" i="1" s="1"/>
  <c r="F13" i="6"/>
  <c r="F35" i="6" s="1"/>
  <c r="F39" i="6" s="1"/>
  <c r="F54" i="6" s="1"/>
  <c r="H60" i="7"/>
  <c r="H63" i="7" s="1"/>
  <c r="E35" i="5"/>
  <c r="E39" i="5" s="1"/>
  <c r="E54" i="5" s="1"/>
  <c r="H35" i="7"/>
  <c r="H39" i="7" s="1"/>
  <c r="H54" i="7" s="1"/>
  <c r="H55" i="7" s="1"/>
  <c r="G60" i="6"/>
  <c r="G63" i="6" s="1"/>
  <c r="C33" i="3"/>
  <c r="C35" i="3" s="1"/>
  <c r="C39" i="3" s="1"/>
  <c r="C54" i="3" s="1"/>
  <c r="C55" i="3" s="1"/>
  <c r="H35" i="3"/>
  <c r="H39" i="3" s="1"/>
  <c r="H54" i="3" s="1"/>
  <c r="F35" i="5"/>
  <c r="F39" i="5" s="1"/>
  <c r="F54" i="5" s="1"/>
  <c r="T13" i="6"/>
  <c r="T35" i="6" s="1"/>
  <c r="T39" i="6" s="1"/>
  <c r="T54" i="6" s="1"/>
  <c r="F60" i="7"/>
  <c r="F63" i="7" s="1"/>
  <c r="AH35" i="9"/>
  <c r="AI35" i="9" s="1"/>
  <c r="N35" i="7"/>
  <c r="N39" i="7" s="1"/>
  <c r="N54" i="7" s="1"/>
  <c r="H63" i="9"/>
  <c r="H66" i="9" s="1"/>
  <c r="R13" i="7"/>
  <c r="R35" i="7" s="1"/>
  <c r="R39" i="7" s="1"/>
  <c r="R54" i="7" s="1"/>
  <c r="P35" i="7"/>
  <c r="P39" i="7" s="1"/>
  <c r="P54" i="7" s="1"/>
  <c r="H37" i="9"/>
  <c r="H41" i="9" s="1"/>
  <c r="H57" i="9" s="1"/>
  <c r="H58" i="9" s="1"/>
  <c r="AB35" i="9"/>
  <c r="AC35" i="9" s="1"/>
  <c r="H36" i="4"/>
  <c r="H40" i="4" s="1"/>
  <c r="H55" i="4" s="1"/>
  <c r="L35" i="7"/>
  <c r="L39" i="7" s="1"/>
  <c r="L54" i="7" s="1"/>
  <c r="F62" i="4"/>
  <c r="F65" i="4" s="1"/>
  <c r="K35" i="7"/>
  <c r="K39" i="7" s="1"/>
  <c r="K54" i="7" s="1"/>
  <c r="G35" i="5"/>
  <c r="G39" i="5" s="1"/>
  <c r="G54" i="5" s="1"/>
  <c r="R13" i="6"/>
  <c r="R35" i="6" s="1"/>
  <c r="R39" i="6" s="1"/>
  <c r="R54" i="6" s="1"/>
  <c r="C35" i="7"/>
  <c r="C39" i="7" s="1"/>
  <c r="C54" i="7" s="1"/>
  <c r="C55" i="7" s="1"/>
  <c r="C57" i="7" s="1"/>
  <c r="W35" i="9"/>
  <c r="W37" i="9" s="1"/>
  <c r="W41" i="9" s="1"/>
  <c r="W57" i="9" s="1"/>
  <c r="G60" i="1"/>
  <c r="G63" i="1" s="1"/>
  <c r="I13" i="5"/>
  <c r="I35" i="5" s="1"/>
  <c r="I39" i="5" s="1"/>
  <c r="I54" i="5" s="1"/>
  <c r="M35" i="7"/>
  <c r="M39" i="7" s="1"/>
  <c r="M54" i="7" s="1"/>
  <c r="G61" i="3"/>
  <c r="G64" i="3" s="1"/>
  <c r="M35" i="6"/>
  <c r="M39" i="6" s="1"/>
  <c r="M54" i="6" s="1"/>
  <c r="L35" i="6"/>
  <c r="L39" i="6" s="1"/>
  <c r="L54" i="6" s="1"/>
  <c r="I13" i="7"/>
  <c r="I35" i="7" s="1"/>
  <c r="I39" i="7" s="1"/>
  <c r="I54" i="7" s="1"/>
  <c r="L61" i="5"/>
  <c r="L64" i="5" s="1"/>
  <c r="H35" i="5"/>
  <c r="H39" i="5" s="1"/>
  <c r="H54" i="5" s="1"/>
  <c r="H55" i="5" s="1"/>
  <c r="I53" i="5" s="1"/>
  <c r="I55" i="5" s="1"/>
  <c r="E13" i="4"/>
  <c r="E36" i="4" s="1"/>
  <c r="E40" i="4" s="1"/>
  <c r="E55" i="4" s="1"/>
  <c r="E61" i="5"/>
  <c r="E64" i="5" s="1"/>
  <c r="K35" i="6"/>
  <c r="K39" i="6" s="1"/>
  <c r="K54" i="6" s="1"/>
  <c r="F35" i="7"/>
  <c r="F39" i="7" s="1"/>
  <c r="F54" i="7" s="1"/>
  <c r="C35" i="9"/>
  <c r="AF35" i="9"/>
  <c r="AJ37" i="9"/>
  <c r="AJ41" i="9" s="1"/>
  <c r="O37" i="9"/>
  <c r="O41" i="9" s="1"/>
  <c r="O57" i="9" s="1"/>
  <c r="I14" i="9"/>
  <c r="I37" i="9" s="1"/>
  <c r="I41" i="9" s="1"/>
  <c r="I57" i="9" s="1"/>
  <c r="T14" i="9"/>
  <c r="Z35" i="9"/>
  <c r="T37" i="9"/>
  <c r="T41" i="9" s="1"/>
  <c r="T57" i="9" s="1"/>
  <c r="T58" i="9" s="1"/>
  <c r="Y14" i="9"/>
  <c r="Z13" i="9"/>
  <c r="H60" i="9"/>
  <c r="I56" i="9"/>
  <c r="I58" i="9" s="1"/>
  <c r="AC14" i="9"/>
  <c r="AB37" i="9"/>
  <c r="F14" i="9"/>
  <c r="F37" i="9" s="1"/>
  <c r="F41" i="9" s="1"/>
  <c r="F57" i="9" s="1"/>
  <c r="R14" i="9"/>
  <c r="R37" i="9" s="1"/>
  <c r="R41" i="9" s="1"/>
  <c r="R57" i="9" s="1"/>
  <c r="G14" i="9"/>
  <c r="G37" i="9" s="1"/>
  <c r="G41" i="9" s="1"/>
  <c r="G57" i="9" s="1"/>
  <c r="AE14" i="9"/>
  <c r="AC13" i="9"/>
  <c r="AC32" i="9"/>
  <c r="AF29" i="9"/>
  <c r="E63" i="9"/>
  <c r="E66" i="9" s="1"/>
  <c r="C14" i="9"/>
  <c r="D14" i="9"/>
  <c r="D37" i="9" s="1"/>
  <c r="D41" i="9" s="1"/>
  <c r="D57" i="9" s="1"/>
  <c r="D58" i="9" s="1"/>
  <c r="E56" i="9" s="1"/>
  <c r="E58" i="9" s="1"/>
  <c r="C57" i="3"/>
  <c r="D61" i="3"/>
  <c r="D64" i="3" s="1"/>
  <c r="D13" i="3"/>
  <c r="D35" i="3" s="1"/>
  <c r="D39" i="3" s="1"/>
  <c r="D54" i="3" s="1"/>
  <c r="D55" i="3" s="1"/>
  <c r="D57" i="5"/>
  <c r="D60" i="7"/>
  <c r="D63" i="7" s="1"/>
  <c r="D13" i="7"/>
  <c r="D35" i="7" s="1"/>
  <c r="D39" i="7" s="1"/>
  <c r="D54" i="7" s="1"/>
  <c r="D55" i="7" s="1"/>
  <c r="C56" i="1"/>
  <c r="F13" i="1"/>
  <c r="F34" i="1" s="1"/>
  <c r="F38" i="1" s="1"/>
  <c r="F53" i="1" s="1"/>
  <c r="F60" i="1"/>
  <c r="F63" i="1" s="1"/>
  <c r="C57" i="5"/>
  <c r="H34" i="1"/>
  <c r="H38" i="1" s="1"/>
  <c r="H53" i="1" s="1"/>
  <c r="H57" i="7"/>
  <c r="I53" i="7"/>
  <c r="I55" i="7" s="1"/>
  <c r="F61" i="3"/>
  <c r="F64" i="3" s="1"/>
  <c r="F13" i="3"/>
  <c r="F35" i="3" s="1"/>
  <c r="F39" i="3" s="1"/>
  <c r="F54" i="3" s="1"/>
  <c r="D13" i="5"/>
  <c r="D35" i="5" s="1"/>
  <c r="D39" i="5" s="1"/>
  <c r="D54" i="5" s="1"/>
  <c r="D55" i="5" s="1"/>
  <c r="E53" i="5" s="1"/>
  <c r="I13" i="6"/>
  <c r="I35" i="6" s="1"/>
  <c r="I39" i="6" s="1"/>
  <c r="I54" i="6" s="1"/>
  <c r="T13" i="7"/>
  <c r="T35" i="7" s="1"/>
  <c r="T39" i="7" s="1"/>
  <c r="T54" i="7" s="1"/>
  <c r="C13" i="5"/>
  <c r="C35" i="5" s="1"/>
  <c r="C39" i="5" s="1"/>
  <c r="C54" i="5" s="1"/>
  <c r="C55" i="5" s="1"/>
  <c r="H13" i="6"/>
  <c r="H35" i="6" s="1"/>
  <c r="H39" i="6" s="1"/>
  <c r="H54" i="6" s="1"/>
  <c r="H55" i="6" s="1"/>
  <c r="E60" i="1"/>
  <c r="E63" i="1" s="1"/>
  <c r="D13" i="1"/>
  <c r="D34" i="1" s="1"/>
  <c r="D38" i="1" s="1"/>
  <c r="D53" i="1" s="1"/>
  <c r="D54" i="1" s="1"/>
  <c r="C13" i="4"/>
  <c r="C36" i="4" s="1"/>
  <c r="C40" i="4" s="1"/>
  <c r="C55" i="4" s="1"/>
  <c r="C56" i="4" s="1"/>
  <c r="C58" i="4" s="1"/>
  <c r="I62" i="4"/>
  <c r="I65" i="4" s="1"/>
  <c r="D13" i="4"/>
  <c r="D36" i="4" s="1"/>
  <c r="D40" i="4" s="1"/>
  <c r="D55" i="4" s="1"/>
  <c r="D56" i="4" s="1"/>
  <c r="E54" i="4" s="1"/>
  <c r="E56" i="4" s="1"/>
  <c r="C13" i="6"/>
  <c r="C35" i="6" s="1"/>
  <c r="C39" i="6" s="1"/>
  <c r="C54" i="6" s="1"/>
  <c r="C55" i="6" s="1"/>
  <c r="C57" i="6" s="1"/>
  <c r="D13" i="6"/>
  <c r="D35" i="6" s="1"/>
  <c r="D39" i="6" s="1"/>
  <c r="D54" i="6" s="1"/>
  <c r="D55" i="6" s="1"/>
  <c r="H57" i="5" l="1"/>
  <c r="C37" i="9"/>
  <c r="C41" i="9" s="1"/>
  <c r="C57" i="9" s="1"/>
  <c r="C58" i="9" s="1"/>
  <c r="C60" i="9" s="1"/>
  <c r="D58" i="4"/>
  <c r="AH37" i="9"/>
  <c r="E55" i="5"/>
  <c r="AH41" i="9"/>
  <c r="AI37" i="9"/>
  <c r="F56" i="9"/>
  <c r="F58" i="9" s="1"/>
  <c r="E60" i="9"/>
  <c r="T60" i="9"/>
  <c r="W56" i="9"/>
  <c r="W58" i="9" s="1"/>
  <c r="V56" i="9"/>
  <c r="V58" i="9" s="1"/>
  <c r="V60" i="9" s="1"/>
  <c r="V48" i="9" s="1"/>
  <c r="V50" i="9" s="1"/>
  <c r="D60" i="9"/>
  <c r="J56" i="9"/>
  <c r="J58" i="9" s="1"/>
  <c r="I60" i="9"/>
  <c r="AE37" i="9"/>
  <c r="AF14" i="9"/>
  <c r="Z14" i="9"/>
  <c r="Y37" i="9"/>
  <c r="AC37" i="9"/>
  <c r="AB41" i="9"/>
  <c r="D56" i="1"/>
  <c r="E52" i="1"/>
  <c r="E54" i="1" s="1"/>
  <c r="F54" i="4"/>
  <c r="F56" i="4" s="1"/>
  <c r="E58" i="4"/>
  <c r="E57" i="5"/>
  <c r="F53" i="5"/>
  <c r="F55" i="5" s="1"/>
  <c r="D57" i="7"/>
  <c r="E53" i="7"/>
  <c r="E55" i="7" s="1"/>
  <c r="J53" i="5"/>
  <c r="J55" i="5" s="1"/>
  <c r="I57" i="5"/>
  <c r="I57" i="7"/>
  <c r="J53" i="7"/>
  <c r="J55" i="7" s="1"/>
  <c r="E53" i="3"/>
  <c r="E55" i="3" s="1"/>
  <c r="D57" i="3"/>
  <c r="I53" i="6"/>
  <c r="I55" i="6" s="1"/>
  <c r="H57" i="6"/>
  <c r="D57" i="6"/>
  <c r="E53" i="6"/>
  <c r="E55" i="6" s="1"/>
  <c r="AI41" i="9" l="1"/>
  <c r="AH57" i="9"/>
  <c r="G56" i="9"/>
  <c r="G58" i="9" s="1"/>
  <c r="G60" i="9" s="1"/>
  <c r="F60" i="9"/>
  <c r="Y41" i="9"/>
  <c r="Z37" i="9"/>
  <c r="AF37" i="9"/>
  <c r="AE41" i="9"/>
  <c r="K56" i="9"/>
  <c r="K58" i="9" s="1"/>
  <c r="J60" i="9"/>
  <c r="Y56" i="9"/>
  <c r="W60" i="9"/>
  <c r="AC41" i="9"/>
  <c r="AB57" i="9"/>
  <c r="K53" i="5"/>
  <c r="K55" i="5" s="1"/>
  <c r="J57" i="5"/>
  <c r="F53" i="7"/>
  <c r="F55" i="7" s="1"/>
  <c r="E57" i="7"/>
  <c r="E57" i="6"/>
  <c r="F53" i="6"/>
  <c r="F55" i="6" s="1"/>
  <c r="F57" i="5"/>
  <c r="G53" i="5"/>
  <c r="G55" i="5" s="1"/>
  <c r="G57" i="5" s="1"/>
  <c r="I57" i="6"/>
  <c r="J53" i="6"/>
  <c r="J55" i="6" s="1"/>
  <c r="E57" i="3"/>
  <c r="F53" i="3"/>
  <c r="F55" i="3" s="1"/>
  <c r="F58" i="4"/>
  <c r="G54" i="4"/>
  <c r="G56" i="4" s="1"/>
  <c r="K53" i="7"/>
  <c r="K55" i="7" s="1"/>
  <c r="J57" i="7"/>
  <c r="E56" i="1"/>
  <c r="F52" i="1"/>
  <c r="F54" i="1" s="1"/>
  <c r="L56" i="9" l="1"/>
  <c r="L58" i="9" s="1"/>
  <c r="K60" i="9"/>
  <c r="AE57" i="9"/>
  <c r="AF41" i="9"/>
  <c r="Z41" i="9"/>
  <c r="Y57" i="9"/>
  <c r="Y58" i="9" s="1"/>
  <c r="F57" i="6"/>
  <c r="G53" i="6"/>
  <c r="G55" i="6" s="1"/>
  <c r="G57" i="6" s="1"/>
  <c r="J57" i="6"/>
  <c r="K53" i="6"/>
  <c r="K55" i="6" s="1"/>
  <c r="G52" i="1"/>
  <c r="G54" i="1" s="1"/>
  <c r="F56" i="1"/>
  <c r="F57" i="3"/>
  <c r="G53" i="3"/>
  <c r="G55" i="3" s="1"/>
  <c r="L53" i="7"/>
  <c r="L55" i="7" s="1"/>
  <c r="K57" i="7"/>
  <c r="F57" i="7"/>
  <c r="G53" i="7"/>
  <c r="G55" i="7" s="1"/>
  <c r="G57" i="7" s="1"/>
  <c r="H54" i="4"/>
  <c r="H56" i="4" s="1"/>
  <c r="G58" i="4"/>
  <c r="K57" i="5"/>
  <c r="L53" i="5"/>
  <c r="L55" i="5" s="1"/>
  <c r="L57" i="5" s="1"/>
  <c r="AB56" i="9" l="1"/>
  <c r="AB58" i="9" s="1"/>
  <c r="Y60" i="9"/>
  <c r="M56" i="9"/>
  <c r="M58" i="9" s="1"/>
  <c r="L60" i="9"/>
  <c r="L57" i="7"/>
  <c r="M53" i="7"/>
  <c r="M55" i="7" s="1"/>
  <c r="G57" i="3"/>
  <c r="H53" i="3"/>
  <c r="H55" i="3" s="1"/>
  <c r="L53" i="6"/>
  <c r="L55" i="6" s="1"/>
  <c r="K57" i="6"/>
  <c r="G56" i="1"/>
  <c r="H52" i="1"/>
  <c r="H54" i="1" s="1"/>
  <c r="H58" i="4"/>
  <c r="I54" i="4"/>
  <c r="I56" i="4" s="1"/>
  <c r="N56" i="9" l="1"/>
  <c r="N58" i="9" s="1"/>
  <c r="M60" i="9"/>
  <c r="AE56" i="9"/>
  <c r="AE58" i="9" s="1"/>
  <c r="AB60" i="9"/>
  <c r="I58" i="4"/>
  <c r="J54" i="4"/>
  <c r="J56" i="4" s="1"/>
  <c r="J58" i="4" s="1"/>
  <c r="K54" i="4"/>
  <c r="K56" i="4" s="1"/>
  <c r="K58" i="4" s="1"/>
  <c r="K46" i="4" s="1"/>
  <c r="K48" i="4" s="1"/>
  <c r="H57" i="3"/>
  <c r="I53" i="3"/>
  <c r="I55" i="3" s="1"/>
  <c r="H56" i="1"/>
  <c r="I52" i="1"/>
  <c r="I54" i="1" s="1"/>
  <c r="I56" i="1" s="1"/>
  <c r="I44" i="1" s="1"/>
  <c r="I46" i="1" s="1"/>
  <c r="L57" i="6"/>
  <c r="M53" i="6"/>
  <c r="M55" i="6" s="1"/>
  <c r="M57" i="7"/>
  <c r="N53" i="7"/>
  <c r="N55" i="7" s="1"/>
  <c r="AE60" i="9" l="1"/>
  <c r="AH56" i="9"/>
  <c r="AH58" i="9" s="1"/>
  <c r="AH60" i="9" s="1"/>
  <c r="O56" i="9"/>
  <c r="O58" i="9" s="1"/>
  <c r="N60" i="9"/>
  <c r="N57" i="7"/>
  <c r="O53" i="7"/>
  <c r="O55" i="7" s="1"/>
  <c r="M57" i="6"/>
  <c r="N53" i="6"/>
  <c r="N55" i="6" s="1"/>
  <c r="I57" i="3"/>
  <c r="J53" i="3"/>
  <c r="J55" i="3" s="1"/>
  <c r="J57" i="3" s="1"/>
  <c r="J45" i="3" s="1"/>
  <c r="J47" i="3" s="1"/>
  <c r="P56" i="9" l="1"/>
  <c r="P58" i="9" s="1"/>
  <c r="O60" i="9"/>
  <c r="P53" i="7"/>
  <c r="P55" i="7" s="1"/>
  <c r="O57" i="7"/>
  <c r="N57" i="6"/>
  <c r="O53" i="6"/>
  <c r="O55" i="6" s="1"/>
  <c r="Q56" i="9" l="1"/>
  <c r="Q58" i="9" s="1"/>
  <c r="P60" i="9"/>
  <c r="P53" i="6"/>
  <c r="P55" i="6" s="1"/>
  <c r="O57" i="6"/>
  <c r="Q53" i="7"/>
  <c r="Q55" i="7" s="1"/>
  <c r="P57" i="7"/>
  <c r="R56" i="9" l="1"/>
  <c r="R58" i="9" s="1"/>
  <c r="Q60" i="9"/>
  <c r="R53" i="7"/>
  <c r="R55" i="7" s="1"/>
  <c r="Q57" i="7"/>
  <c r="P57" i="6"/>
  <c r="Q53" i="6"/>
  <c r="Q55" i="6" s="1"/>
  <c r="S56" i="9" l="1"/>
  <c r="S58" i="9" s="1"/>
  <c r="R60" i="9"/>
  <c r="S53" i="7"/>
  <c r="S55" i="7" s="1"/>
  <c r="R57" i="7"/>
  <c r="Q57" i="6"/>
  <c r="R53" i="6"/>
  <c r="R55" i="6" s="1"/>
  <c r="S60" i="9" l="1"/>
  <c r="U56" i="9"/>
  <c r="U58" i="9" s="1"/>
  <c r="U60" i="9" s="1"/>
  <c r="U48" i="9" s="1"/>
  <c r="U50" i="9" s="1"/>
  <c r="R57" i="6"/>
  <c r="S53" i="6"/>
  <c r="S55" i="6" s="1"/>
  <c r="S57" i="6" s="1"/>
  <c r="T53" i="6"/>
  <c r="T55" i="6" s="1"/>
  <c r="T57" i="6" s="1"/>
  <c r="T53" i="7"/>
  <c r="T55" i="7" s="1"/>
  <c r="T57" i="7" s="1"/>
  <c r="T45" i="7" s="1"/>
  <c r="T47" i="7" s="1"/>
  <c r="S57" i="7"/>
</calcChain>
</file>

<file path=xl/sharedStrings.xml><?xml version="1.0" encoding="utf-8"?>
<sst xmlns="http://schemas.openxmlformats.org/spreadsheetml/2006/main" count="626" uniqueCount="153">
  <si>
    <t>Rømåsen Vel</t>
  </si>
  <si>
    <t xml:space="preserve"> </t>
  </si>
  <si>
    <t>Tekst</t>
  </si>
  <si>
    <t>2001/2002</t>
  </si>
  <si>
    <t>2002/2003</t>
  </si>
  <si>
    <t>2003/2004</t>
  </si>
  <si>
    <t>2004/2005</t>
  </si>
  <si>
    <t>2005/2006</t>
  </si>
  <si>
    <t>2006/2007</t>
  </si>
  <si>
    <t>B 07 - 08</t>
  </si>
  <si>
    <t>Kontigenter</t>
  </si>
  <si>
    <t xml:space="preserve">     Herav ikke betalt</t>
  </si>
  <si>
    <t>Innkommet kontingent</t>
  </si>
  <si>
    <t>Kontigenter foregående år</t>
  </si>
  <si>
    <t>Støtte fra Ringsaker K.</t>
  </si>
  <si>
    <t>Påskeskirenn</t>
  </si>
  <si>
    <t>Andre inntekter</t>
  </si>
  <si>
    <t>Sum Inntekter</t>
  </si>
  <si>
    <t>Støtte Løype preparering</t>
  </si>
  <si>
    <t xml:space="preserve">   Avsatt for 06/07</t>
  </si>
  <si>
    <t>Støtte Bomvoktertjenesten</t>
  </si>
  <si>
    <t>Støtte Sjusjøen Fjellkirke</t>
  </si>
  <si>
    <t>Støtte Brøttum R.K. Hjelpek.</t>
  </si>
  <si>
    <t>Innkjøpte premier - skirenn</t>
  </si>
  <si>
    <t>Aktivitets-utvikling</t>
  </si>
  <si>
    <t>Diverse utstyr</t>
  </si>
  <si>
    <t>Porto</t>
  </si>
  <si>
    <t>Forsikringer</t>
  </si>
  <si>
    <t>Styremøter</t>
  </si>
  <si>
    <t>Årsmøte</t>
  </si>
  <si>
    <t>Bank kostnader</t>
  </si>
  <si>
    <t>Diverse - Kontorrekvisita</t>
  </si>
  <si>
    <t>Internett kostnader</t>
  </si>
  <si>
    <t>Sum Kostnader</t>
  </si>
  <si>
    <t>Driftsresultat</t>
  </si>
  <si>
    <t>Finans inntekter</t>
  </si>
  <si>
    <t>Resultat</t>
  </si>
  <si>
    <t>Eiendeler</t>
  </si>
  <si>
    <t>Kunder</t>
  </si>
  <si>
    <t>Andre fordringer</t>
  </si>
  <si>
    <t>Bankinnskudd</t>
  </si>
  <si>
    <t>Sum eiendeler</t>
  </si>
  <si>
    <t>Gjeld</t>
  </si>
  <si>
    <t>Avsatt støtte</t>
  </si>
  <si>
    <t>Egenkapital 01.01</t>
  </si>
  <si>
    <t>Periodens resultat</t>
  </si>
  <si>
    <t>Egenkapital akkumulert</t>
  </si>
  <si>
    <t>Sum gjeld og egenkapital</t>
  </si>
  <si>
    <t>Avstemming støtte løypenett</t>
  </si>
  <si>
    <t>Løypenett 50 % av innbetalt kontingent =</t>
  </si>
  <si>
    <t>Tilleggsavsetn.</t>
  </si>
  <si>
    <t xml:space="preserve">Fast beløp </t>
  </si>
  <si>
    <t>Totalt</t>
  </si>
  <si>
    <t>Arnulf Melbye</t>
  </si>
  <si>
    <t>Anders Lund</t>
  </si>
  <si>
    <t>Ole L. Nordby</t>
  </si>
  <si>
    <t>Styrets Leder</t>
  </si>
  <si>
    <t>Kasserer</t>
  </si>
  <si>
    <t>Revisor</t>
  </si>
  <si>
    <t xml:space="preserve">Rømåsen Vel  * * Årsmøte 04.10.08 </t>
  </si>
  <si>
    <t>Gran Knut Erik og Marit</t>
  </si>
  <si>
    <t>Styre</t>
  </si>
  <si>
    <t>Jan A Gjerland</t>
  </si>
  <si>
    <t xml:space="preserve">Lund Anders </t>
  </si>
  <si>
    <t>Hovland Steinar</t>
  </si>
  <si>
    <t>Anne + Steinar Kjuus</t>
  </si>
  <si>
    <t>Øystein Gundersen</t>
  </si>
  <si>
    <t>John Kasper Hermansen</t>
  </si>
  <si>
    <t>Edel og Finn Havik</t>
  </si>
  <si>
    <t>Turid Melby</t>
  </si>
  <si>
    <t>Berit Holm</t>
  </si>
  <si>
    <t>Neraasen Mathias</t>
  </si>
  <si>
    <t>Johannes+ Jorun</t>
  </si>
  <si>
    <t>Sum</t>
  </si>
  <si>
    <t>Kr. 200 - pr. person</t>
  </si>
  <si>
    <t>2007/2008</t>
  </si>
  <si>
    <t>B 08 - 09</t>
  </si>
  <si>
    <t xml:space="preserve">   Avsatt for </t>
  </si>
  <si>
    <t xml:space="preserve">Internett  </t>
  </si>
  <si>
    <t>Jan Arne Gjerland</t>
  </si>
  <si>
    <t xml:space="preserve">Anders Lund </t>
  </si>
  <si>
    <t>Leif Henning Asla</t>
  </si>
  <si>
    <t>Reisekostnader</t>
  </si>
  <si>
    <t>B 2010</t>
  </si>
  <si>
    <t>Innkjøpte til påskeskirenn</t>
  </si>
  <si>
    <t>Høytalere / feie utstyr</t>
  </si>
  <si>
    <t>Anskaffelser til prosjektet</t>
  </si>
  <si>
    <t>Kartprosjekt</t>
  </si>
  <si>
    <t>Rømåsen og Natrudstilen Vel</t>
  </si>
  <si>
    <t>B 2019</t>
  </si>
  <si>
    <t>Ikke betalt+bet. Foreg. År</t>
  </si>
  <si>
    <t>Innkjøpt til påskeskirenn</t>
  </si>
  <si>
    <t>Til div. prosjekter</t>
  </si>
  <si>
    <t>Kjøp av tjenester-regnskap</t>
  </si>
  <si>
    <t>Serviceavg. Destinasjon S.</t>
  </si>
  <si>
    <t>Advokat honorar</t>
  </si>
  <si>
    <t>Aksjer-Destinasjon Sjusjøen</t>
  </si>
  <si>
    <t>Erik Øiesvold</t>
  </si>
  <si>
    <t>Kontoer</t>
  </si>
  <si>
    <t>Tjenester regnskap, medlem</t>
  </si>
  <si>
    <t>6705, 6790</t>
  </si>
  <si>
    <t>Advokathonorar</t>
  </si>
  <si>
    <t>7100, 7140</t>
  </si>
  <si>
    <t>Leie datasystemer  (web, regnskap, medlem)</t>
  </si>
  <si>
    <t xml:space="preserve">Avsatt sikkerhet Øyungen </t>
  </si>
  <si>
    <t>Sikkerhet for sak Øyungen</t>
  </si>
  <si>
    <t>Diverse - Kontorrekvisita - Avis</t>
  </si>
  <si>
    <t>6840, 7320</t>
  </si>
  <si>
    <t>Kundefordringer</t>
  </si>
  <si>
    <t>Andre forskuddbetalte kostnader</t>
  </si>
  <si>
    <t>Leverandørgjeld</t>
  </si>
  <si>
    <t xml:space="preserve">Sikkerhet for sak Øyungen </t>
  </si>
  <si>
    <t>Leie lokaler</t>
  </si>
  <si>
    <t>6590, 6600</t>
  </si>
  <si>
    <t>Årsmøte, medlemsmøte</t>
  </si>
  <si>
    <t>7710, 6860</t>
  </si>
  <si>
    <t>8050, 8070</t>
  </si>
  <si>
    <t>2400,2990,2991</t>
  </si>
  <si>
    <t>Regnskap 2019</t>
  </si>
  <si>
    <t>Budsjett
2020</t>
  </si>
  <si>
    <t>Regnskap 2020</t>
  </si>
  <si>
    <t>Budsjett
2021</t>
  </si>
  <si>
    <t>31.12.2009</t>
  </si>
  <si>
    <t>31.12.2010</t>
  </si>
  <si>
    <t>31.12.2011</t>
  </si>
  <si>
    <t>31.12.2012</t>
  </si>
  <si>
    <t>31.12.2013</t>
  </si>
  <si>
    <t>31.12.2014</t>
  </si>
  <si>
    <t>31.12.2015</t>
  </si>
  <si>
    <t>31.12.2016</t>
  </si>
  <si>
    <t>31.12.2017</t>
  </si>
  <si>
    <t>31.12.2018</t>
  </si>
  <si>
    <t>Budsjett
2019</t>
  </si>
  <si>
    <t>Regnskap
2021</t>
  </si>
  <si>
    <t>Budsjett
2022</t>
  </si>
  <si>
    <t>Avvik
2021</t>
  </si>
  <si>
    <t>Støtte fra andre</t>
  </si>
  <si>
    <t>Regnskap
2022</t>
  </si>
  <si>
    <t>Avvik
2022</t>
  </si>
  <si>
    <t>Budsjett
2023</t>
  </si>
  <si>
    <t>3400, (3900)</t>
  </si>
  <si>
    <t>3230,3411,3948, (3900)</t>
  </si>
  <si>
    <t>Andre inntekter (Grasrot, MVA m.m.)</t>
  </si>
  <si>
    <t>Regnskap
2023</t>
  </si>
  <si>
    <t>Budsjett
2024</t>
  </si>
  <si>
    <t>Avvik 2023</t>
  </si>
  <si>
    <t>Budsjett
2025</t>
  </si>
  <si>
    <t>Regnskap
2024</t>
  </si>
  <si>
    <t>Avvik 2024</t>
  </si>
  <si>
    <t>596 betalte medlemsskap</t>
  </si>
  <si>
    <t>596 medlemmer á 170,-</t>
  </si>
  <si>
    <t>Usikkerhet - søker innen 1.5</t>
  </si>
  <si>
    <t>Størrelse på post avhenger om vi får innvilget tilskudd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</si>
</sst>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3" x14ac:knownFonts="1">
    <font>
      <sz val="10"/>
      <name val="Arial"/>
      <family val="2"/>
    </font>
    <font>
      <sz val="10"/>
      <name val="Arial"/>
    </font>
    <font>
      <sz val="9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u/>
      <sz val="9"/>
      <name val="Arial"/>
      <family val="2"/>
    </font>
    <font>
      <sz val="14"/>
      <color indexed="57"/>
      <name val="Arial"/>
      <family val="2"/>
    </font>
    <font>
      <b/>
      <sz val="14"/>
      <name val="Arial"/>
      <family val="2"/>
    </font>
    <font>
      <sz val="14"/>
      <color indexed="53"/>
      <name val="Arial"/>
      <family val="2"/>
    </font>
    <font>
      <sz val="14"/>
      <color indexed="48"/>
      <name val="Arial"/>
      <family val="2"/>
    </font>
    <font>
      <b/>
      <sz val="9"/>
      <color indexed="10"/>
      <name val="Arial"/>
      <family val="2"/>
    </font>
    <font>
      <sz val="9"/>
      <color indexed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</borders>
  <cellStyleXfs count="3">
    <xf numFmtId="0" fontId="0" fillId="0" borderId="0"/>
    <xf numFmtId="164" fontId="1" fillId="0" borderId="0" applyFill="0" applyBorder="0" applyAlignment="0" applyProtection="0"/>
    <xf numFmtId="164" fontId="12" fillId="0" borderId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/>
    <xf numFmtId="14" fontId="4" fillId="2" borderId="1" xfId="0" applyNumberFormat="1" applyFont="1" applyFill="1" applyBorder="1"/>
    <xf numFmtId="14" fontId="4" fillId="2" borderId="1" xfId="0" applyNumberFormat="1" applyFont="1" applyFill="1" applyBorder="1" applyAlignment="1">
      <alignment horizontal="right"/>
    </xf>
    <xf numFmtId="0" fontId="4" fillId="3" borderId="0" xfId="0" applyFont="1" applyFill="1"/>
    <xf numFmtId="0" fontId="2" fillId="0" borderId="4" xfId="0" applyFont="1" applyBorder="1"/>
    <xf numFmtId="0" fontId="2" fillId="3" borderId="4" xfId="0" applyFont="1" applyFill="1" applyBorder="1"/>
    <xf numFmtId="0" fontId="2" fillId="0" borderId="5" xfId="0" applyFont="1" applyBorder="1"/>
    <xf numFmtId="0" fontId="2" fillId="3" borderId="5" xfId="0" applyFont="1" applyFill="1" applyBorder="1"/>
    <xf numFmtId="0" fontId="4" fillId="0" borderId="0" xfId="0" applyFont="1"/>
    <xf numFmtId="0" fontId="4" fillId="0" borderId="5" xfId="0" applyFont="1" applyBorder="1"/>
    <xf numFmtId="0" fontId="4" fillId="3" borderId="5" xfId="0" applyFont="1" applyFill="1" applyBorder="1"/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/>
    <xf numFmtId="0" fontId="4" fillId="3" borderId="1" xfId="0" applyFont="1" applyFill="1" applyBorder="1"/>
    <xf numFmtId="0" fontId="2" fillId="0" borderId="6" xfId="0" applyFont="1" applyBorder="1"/>
    <xf numFmtId="0" fontId="2" fillId="3" borderId="6" xfId="0" applyFont="1" applyFill="1" applyBorder="1"/>
    <xf numFmtId="0" fontId="2" fillId="3" borderId="0" xfId="0" applyFont="1" applyFill="1"/>
    <xf numFmtId="0" fontId="5" fillId="0" borderId="0" xfId="0" applyFont="1"/>
    <xf numFmtId="0" fontId="7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9" fillId="0" borderId="0" xfId="0" applyFont="1"/>
    <xf numFmtId="0" fontId="3" fillId="0" borderId="0" xfId="0" applyFont="1" applyAlignment="1">
      <alignment horizontal="center"/>
    </xf>
    <xf numFmtId="0" fontId="2" fillId="0" borderId="7" xfId="0" applyFont="1" applyBorder="1"/>
    <xf numFmtId="0" fontId="4" fillId="0" borderId="7" xfId="0" applyFont="1" applyBorder="1"/>
    <xf numFmtId="0" fontId="10" fillId="3" borderId="5" xfId="0" applyFont="1" applyFill="1" applyBorder="1"/>
    <xf numFmtId="0" fontId="4" fillId="0" borderId="4" xfId="0" applyFont="1" applyBorder="1"/>
    <xf numFmtId="0" fontId="2" fillId="0" borderId="8" xfId="0" applyFont="1" applyBorder="1"/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2" borderId="3" xfId="0" applyFont="1" applyFill="1" applyBorder="1" applyAlignment="1">
      <alignment horizontal="left"/>
    </xf>
    <xf numFmtId="3" fontId="2" fillId="0" borderId="4" xfId="0" applyNumberFormat="1" applyFont="1" applyBorder="1"/>
    <xf numFmtId="3" fontId="2" fillId="0" borderId="9" xfId="0" applyNumberFormat="1" applyFont="1" applyBorder="1"/>
    <xf numFmtId="3" fontId="2" fillId="0" borderId="0" xfId="0" applyNumberFormat="1" applyFont="1"/>
    <xf numFmtId="3" fontId="2" fillId="0" borderId="5" xfId="0" applyNumberFormat="1" applyFont="1" applyBorder="1"/>
    <xf numFmtId="3" fontId="2" fillId="0" borderId="7" xfId="0" applyNumberFormat="1" applyFont="1" applyBorder="1"/>
    <xf numFmtId="3" fontId="4" fillId="0" borderId="5" xfId="0" applyNumberFormat="1" applyFont="1" applyBorder="1"/>
    <xf numFmtId="3" fontId="4" fillId="0" borderId="7" xfId="0" applyNumberFormat="1" applyFont="1" applyBorder="1"/>
    <xf numFmtId="3" fontId="4" fillId="0" borderId="0" xfId="0" applyNumberFormat="1" applyFont="1"/>
    <xf numFmtId="0" fontId="4" fillId="0" borderId="3" xfId="0" applyFont="1" applyBorder="1" applyAlignment="1">
      <alignment horizontal="left"/>
    </xf>
    <xf numFmtId="3" fontId="4" fillId="0" borderId="1" xfId="0" applyNumberFormat="1" applyFont="1" applyBorder="1"/>
    <xf numFmtId="3" fontId="4" fillId="0" borderId="2" xfId="0" applyNumberFormat="1" applyFont="1" applyBorder="1"/>
    <xf numFmtId="3" fontId="4" fillId="0" borderId="3" xfId="0" applyNumberFormat="1" applyFont="1" applyBorder="1"/>
    <xf numFmtId="3" fontId="10" fillId="0" borderId="0" xfId="0" applyNumberFormat="1" applyFont="1"/>
    <xf numFmtId="0" fontId="11" fillId="0" borderId="0" xfId="0" applyFont="1"/>
    <xf numFmtId="0" fontId="4" fillId="0" borderId="0" xfId="0" applyFont="1" applyAlignment="1">
      <alignment horizontal="left"/>
    </xf>
    <xf numFmtId="3" fontId="4" fillId="0" borderId="4" xfId="0" applyNumberFormat="1" applyFont="1" applyBorder="1"/>
    <xf numFmtId="3" fontId="2" fillId="0" borderId="8" xfId="0" applyNumberFormat="1" applyFont="1" applyBorder="1"/>
    <xf numFmtId="3" fontId="11" fillId="0" borderId="0" xfId="0" applyNumberFormat="1" applyFont="1"/>
    <xf numFmtId="3" fontId="2" fillId="0" borderId="6" xfId="0" applyNumberFormat="1" applyFont="1" applyBorder="1"/>
    <xf numFmtId="3" fontId="4" fillId="0" borderId="10" xfId="0" applyNumberFormat="1" applyFont="1" applyBorder="1"/>
    <xf numFmtId="0" fontId="2" fillId="0" borderId="0" xfId="0" quotePrefix="1" applyFont="1" applyAlignment="1">
      <alignment horizontal="left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4" borderId="11" xfId="0" applyNumberFormat="1" applyFont="1" applyFill="1" applyBorder="1" applyAlignment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4" fillId="4" borderId="12" xfId="0" applyNumberFormat="1" applyFont="1" applyFill="1" applyBorder="1" applyAlignment="1">
      <alignment horizontal="center" vertical="center" wrapText="1"/>
    </xf>
    <xf numFmtId="49" fontId="4" fillId="4" borderId="13" xfId="0" applyNumberFormat="1" applyFont="1" applyFill="1" applyBorder="1" applyAlignment="1">
      <alignment horizontal="center" vertical="center" wrapText="1"/>
    </xf>
    <xf numFmtId="49" fontId="4" fillId="5" borderId="13" xfId="0" applyNumberFormat="1" applyFont="1" applyFill="1" applyBorder="1" applyAlignment="1">
      <alignment horizontal="center" vertical="center" wrapText="1"/>
    </xf>
    <xf numFmtId="3" fontId="4" fillId="5" borderId="3" xfId="0" applyNumberFormat="1" applyFont="1" applyFill="1" applyBorder="1"/>
    <xf numFmtId="0" fontId="7" fillId="0" borderId="0" xfId="0" applyFont="1"/>
    <xf numFmtId="3" fontId="4" fillId="5" borderId="0" xfId="0" applyNumberFormat="1" applyFont="1" applyFill="1"/>
    <xf numFmtId="165" fontId="2" fillId="0" borderId="0" xfId="1" applyNumberFormat="1" applyFont="1"/>
    <xf numFmtId="165" fontId="2" fillId="0" borderId="0" xfId="1" applyNumberFormat="1" applyFont="1" applyFill="1"/>
    <xf numFmtId="165" fontId="4" fillId="5" borderId="0" xfId="1" applyNumberFormat="1" applyFont="1" applyFill="1"/>
    <xf numFmtId="3" fontId="2" fillId="0" borderId="0" xfId="1" applyNumberFormat="1" applyFont="1"/>
    <xf numFmtId="3" fontId="4" fillId="0" borderId="10" xfId="1" applyNumberFormat="1" applyFont="1" applyBorder="1"/>
    <xf numFmtId="165" fontId="4" fillId="0" borderId="10" xfId="1" applyNumberFormat="1" applyFont="1" applyBorder="1"/>
    <xf numFmtId="165" fontId="4" fillId="0" borderId="10" xfId="1" applyNumberFormat="1" applyFont="1" applyFill="1" applyBorder="1"/>
    <xf numFmtId="165" fontId="4" fillId="5" borderId="10" xfId="1" applyNumberFormat="1" applyFont="1" applyFill="1" applyBorder="1"/>
    <xf numFmtId="3" fontId="4" fillId="0" borderId="10" xfId="1" applyNumberFormat="1" applyFont="1" applyFill="1" applyBorder="1"/>
    <xf numFmtId="3" fontId="4" fillId="5" borderId="10" xfId="1" applyNumberFormat="1" applyFont="1" applyFill="1" applyBorder="1"/>
    <xf numFmtId="3" fontId="2" fillId="0" borderId="0" xfId="1" applyNumberFormat="1" applyFont="1" applyFill="1"/>
    <xf numFmtId="3" fontId="4" fillId="5" borderId="0" xfId="1" applyNumberFormat="1" applyFont="1" applyFill="1"/>
    <xf numFmtId="165" fontId="4" fillId="0" borderId="0" xfId="1" applyNumberFormat="1" applyFont="1" applyFill="1"/>
    <xf numFmtId="3" fontId="4" fillId="0" borderId="0" xfId="1" applyNumberFormat="1" applyFont="1" applyFill="1"/>
    <xf numFmtId="0" fontId="3" fillId="0" borderId="15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3">
    <cellStyle name="Komma" xfId="1" builtinId="3"/>
    <cellStyle name="K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FDC7B-7CD0-4424-92BF-D6A2F3AD772A}">
  <dimension ref="A1:AK70"/>
  <sheetViews>
    <sheetView tabSelected="1" workbookViewId="0">
      <selection activeCell="AJ46" sqref="AJ46"/>
    </sheetView>
  </sheetViews>
  <sheetFormatPr baseColWidth="10" defaultColWidth="11.453125" defaultRowHeight="11.5" x14ac:dyDescent="0.25"/>
  <cols>
    <col min="1" max="1" width="37.26953125" style="1" bestFit="1" customWidth="1"/>
    <col min="2" max="2" width="10" style="35" customWidth="1"/>
    <col min="3" max="9" width="9.453125" style="1" hidden="1" customWidth="1"/>
    <col min="10" max="19" width="9.81640625" style="1" hidden="1" customWidth="1"/>
    <col min="20" max="20" width="9.1796875" style="1" hidden="1" customWidth="1"/>
    <col min="21" max="21" width="8.26953125" style="1" hidden="1" customWidth="1"/>
    <col min="22" max="22" width="7.7265625" style="1" hidden="1" customWidth="1"/>
    <col min="23" max="23" width="9.1796875" style="1" hidden="1" customWidth="1"/>
    <col min="24" max="24" width="8.7265625" style="1" hidden="1" customWidth="1"/>
    <col min="25" max="25" width="11.453125" style="1" hidden="1" customWidth="1"/>
    <col min="26" max="26" width="8.7265625" style="1" hidden="1" customWidth="1"/>
    <col min="27" max="27" width="12.453125" style="1" hidden="1" customWidth="1"/>
    <col min="28" max="28" width="0" style="1" hidden="1" customWidth="1"/>
    <col min="29" max="29" width="14" style="1" hidden="1" customWidth="1"/>
    <col min="30" max="30" width="8.54296875" style="1" hidden="1" customWidth="1"/>
    <col min="31" max="31" width="11.453125" style="13"/>
    <col min="32" max="32" width="8.81640625" style="1" hidden="1" customWidth="1"/>
    <col min="33" max="33" width="11.453125" style="1" customWidth="1"/>
    <col min="34" max="34" width="11.453125" style="13"/>
    <col min="35" max="35" width="10.453125" style="1" customWidth="1"/>
    <col min="36" max="36" width="12" style="1" customWidth="1"/>
    <col min="37" max="16384" width="11.453125" style="1"/>
  </cols>
  <sheetData>
    <row r="1" spans="1:37" s="2" customFormat="1" ht="18" x14ac:dyDescent="0.4">
      <c r="A1" s="85" t="s">
        <v>88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AE1" s="69"/>
      <c r="AH1" s="69"/>
    </row>
    <row r="3" spans="1:37" x14ac:dyDescent="0.25">
      <c r="D3" s="36" t="s">
        <v>1</v>
      </c>
    </row>
    <row r="4" spans="1:37" s="64" customFormat="1" ht="23" x14ac:dyDescent="0.25">
      <c r="A4" s="59" t="s">
        <v>2</v>
      </c>
      <c r="B4" s="60" t="s">
        <v>98</v>
      </c>
      <c r="C4" s="61" t="s">
        <v>3</v>
      </c>
      <c r="D4" s="61" t="s">
        <v>4</v>
      </c>
      <c r="E4" s="61" t="s">
        <v>5</v>
      </c>
      <c r="F4" s="61" t="s">
        <v>6</v>
      </c>
      <c r="G4" s="61" t="s">
        <v>7</v>
      </c>
      <c r="H4" s="61" t="s">
        <v>8</v>
      </c>
      <c r="I4" s="61" t="s">
        <v>75</v>
      </c>
      <c r="J4" s="61" t="s">
        <v>122</v>
      </c>
      <c r="K4" s="61" t="s">
        <v>123</v>
      </c>
      <c r="L4" s="61" t="s">
        <v>124</v>
      </c>
      <c r="M4" s="61" t="s">
        <v>125</v>
      </c>
      <c r="N4" s="61" t="s">
        <v>126</v>
      </c>
      <c r="O4" s="61" t="s">
        <v>127</v>
      </c>
      <c r="P4" s="61" t="s">
        <v>128</v>
      </c>
      <c r="Q4" s="61" t="s">
        <v>129</v>
      </c>
      <c r="R4" s="61" t="s">
        <v>130</v>
      </c>
      <c r="S4" s="61" t="s">
        <v>131</v>
      </c>
      <c r="T4" s="61" t="s">
        <v>118</v>
      </c>
      <c r="U4" s="61" t="s">
        <v>132</v>
      </c>
      <c r="V4" s="61" t="s">
        <v>119</v>
      </c>
      <c r="W4" s="62" t="s">
        <v>120</v>
      </c>
      <c r="X4" s="65" t="s">
        <v>121</v>
      </c>
      <c r="Y4" s="66" t="s">
        <v>133</v>
      </c>
      <c r="Z4" s="63" t="s">
        <v>135</v>
      </c>
      <c r="AA4" s="65" t="s">
        <v>134</v>
      </c>
      <c r="AB4" s="66" t="s">
        <v>137</v>
      </c>
      <c r="AC4" s="63" t="s">
        <v>138</v>
      </c>
      <c r="AD4" s="65" t="s">
        <v>139</v>
      </c>
      <c r="AE4" s="66" t="s">
        <v>143</v>
      </c>
      <c r="AF4" s="63" t="s">
        <v>145</v>
      </c>
      <c r="AG4" s="65" t="s">
        <v>144</v>
      </c>
      <c r="AH4" s="67" t="s">
        <v>147</v>
      </c>
      <c r="AI4" s="63" t="s">
        <v>148</v>
      </c>
      <c r="AJ4" s="65" t="s">
        <v>146</v>
      </c>
    </row>
    <row r="5" spans="1:37" x14ac:dyDescent="0.25"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9"/>
      <c r="R5" s="40"/>
      <c r="S5" s="40"/>
      <c r="T5" s="40"/>
      <c r="U5" s="40"/>
      <c r="V5" s="40"/>
      <c r="W5" s="71"/>
      <c r="X5" s="71"/>
      <c r="Y5" s="71"/>
      <c r="Z5" s="71"/>
      <c r="AA5" s="71"/>
      <c r="AB5" s="72"/>
      <c r="AC5" s="71"/>
      <c r="AD5" s="71"/>
      <c r="AE5" s="83"/>
      <c r="AF5" s="71"/>
      <c r="AG5" s="71"/>
      <c r="AH5" s="73"/>
      <c r="AI5" s="71"/>
      <c r="AJ5" s="71"/>
    </row>
    <row r="6" spans="1:37" x14ac:dyDescent="0.25">
      <c r="A6" s="1" t="s">
        <v>10</v>
      </c>
      <c r="B6" s="35">
        <v>3920</v>
      </c>
      <c r="C6" s="41">
        <v>148800</v>
      </c>
      <c r="D6" s="41">
        <v>127200</v>
      </c>
      <c r="E6" s="41">
        <v>129600</v>
      </c>
      <c r="F6" s="41">
        <v>145400</v>
      </c>
      <c r="G6" s="41">
        <v>125600</v>
      </c>
      <c r="H6" s="41">
        <v>126200</v>
      </c>
      <c r="I6" s="41">
        <v>133800</v>
      </c>
      <c r="J6" s="41">
        <v>204300</v>
      </c>
      <c r="K6" s="41">
        <v>201000</v>
      </c>
      <c r="L6" s="41">
        <v>206000</v>
      </c>
      <c r="M6" s="41">
        <v>204000</v>
      </c>
      <c r="N6" s="41">
        <v>198900</v>
      </c>
      <c r="O6" s="41">
        <v>207600</v>
      </c>
      <c r="P6" s="41">
        <f>209700-3900</f>
        <v>205800</v>
      </c>
      <c r="Q6" s="42">
        <v>212400</v>
      </c>
      <c r="R6" s="40">
        <v>221100</v>
      </c>
      <c r="S6" s="40">
        <v>224401</v>
      </c>
      <c r="T6" s="40">
        <v>202892.23</v>
      </c>
      <c r="U6" s="40">
        <v>211500</v>
      </c>
      <c r="V6" s="74">
        <v>160000</v>
      </c>
      <c r="W6" s="71">
        <v>154250</v>
      </c>
      <c r="X6" s="71">
        <v>245000</v>
      </c>
      <c r="Y6" s="71">
        <v>231685</v>
      </c>
      <c r="Z6" s="71">
        <f t="shared" ref="Z6:Z35" si="0">Y6-X6</f>
        <v>-13315</v>
      </c>
      <c r="AA6" s="71">
        <v>230000</v>
      </c>
      <c r="AB6" s="72">
        <v>222625</v>
      </c>
      <c r="AC6" s="71">
        <f t="shared" ref="AC6:AC10" si="1">AB6-AA6</f>
        <v>-7375</v>
      </c>
      <c r="AD6" s="71">
        <v>220000</v>
      </c>
      <c r="AE6" s="83">
        <v>212100</v>
      </c>
      <c r="AF6" s="71">
        <f t="shared" ref="AF6:AF10" si="2">AE6-AD6</f>
        <v>-7900</v>
      </c>
      <c r="AG6" s="71">
        <v>210000</v>
      </c>
      <c r="AH6" s="73">
        <v>208264.41</v>
      </c>
      <c r="AI6" s="71">
        <f t="shared" ref="AI6:AI10" si="3">AH6-AG6</f>
        <v>-1735.5899999999965</v>
      </c>
      <c r="AJ6" s="71">
        <v>210000</v>
      </c>
      <c r="AK6" s="1" t="s">
        <v>149</v>
      </c>
    </row>
    <row r="7" spans="1:37" hidden="1" x14ac:dyDescent="0.25">
      <c r="A7" s="1" t="s">
        <v>90</v>
      </c>
      <c r="C7" s="41">
        <v>-30000</v>
      </c>
      <c r="D7" s="41">
        <f>-10600+2600</f>
        <v>-8000</v>
      </c>
      <c r="E7" s="41">
        <v>-18000</v>
      </c>
      <c r="F7" s="41">
        <v>-23400</v>
      </c>
      <c r="G7" s="41">
        <v>-16600</v>
      </c>
      <c r="H7" s="41">
        <v>-16400</v>
      </c>
      <c r="I7" s="41">
        <v>-24800</v>
      </c>
      <c r="J7" s="41">
        <v>-4550</v>
      </c>
      <c r="K7" s="41">
        <v>-11700</v>
      </c>
      <c r="L7" s="41">
        <v>-22500</v>
      </c>
      <c r="M7" s="41">
        <v>-13200</v>
      </c>
      <c r="N7" s="41">
        <v>-9900</v>
      </c>
      <c r="O7" s="41">
        <v>-30770</v>
      </c>
      <c r="P7" s="41">
        <v>1700</v>
      </c>
      <c r="Q7" s="42"/>
      <c r="R7" s="40">
        <v>-29700</v>
      </c>
      <c r="S7" s="40">
        <v>-8920</v>
      </c>
      <c r="T7" s="40"/>
      <c r="U7" s="40"/>
      <c r="V7" s="74"/>
      <c r="W7" s="71"/>
      <c r="X7" s="71"/>
      <c r="Y7" s="71"/>
      <c r="Z7" s="71">
        <f t="shared" si="0"/>
        <v>0</v>
      </c>
      <c r="AA7" s="71"/>
      <c r="AB7" s="72"/>
      <c r="AC7" s="71">
        <f t="shared" si="1"/>
        <v>0</v>
      </c>
      <c r="AD7" s="71"/>
      <c r="AE7" s="83"/>
      <c r="AF7" s="71">
        <f t="shared" si="2"/>
        <v>0</v>
      </c>
      <c r="AG7" s="71"/>
      <c r="AH7" s="73"/>
      <c r="AI7" s="71">
        <f t="shared" si="3"/>
        <v>0</v>
      </c>
      <c r="AJ7" s="71"/>
    </row>
    <row r="8" spans="1:37" hidden="1" x14ac:dyDescent="0.25">
      <c r="A8" s="13" t="s">
        <v>12</v>
      </c>
      <c r="C8" s="43">
        <f t="shared" ref="C8:U8" si="4">+C6+C7</f>
        <v>118800</v>
      </c>
      <c r="D8" s="43">
        <f t="shared" si="4"/>
        <v>119200</v>
      </c>
      <c r="E8" s="43">
        <f t="shared" si="4"/>
        <v>111600</v>
      </c>
      <c r="F8" s="43">
        <f t="shared" si="4"/>
        <v>122000</v>
      </c>
      <c r="G8" s="43">
        <f t="shared" si="4"/>
        <v>109000</v>
      </c>
      <c r="H8" s="43">
        <f t="shared" si="4"/>
        <v>109800</v>
      </c>
      <c r="I8" s="43">
        <f t="shared" si="4"/>
        <v>109000</v>
      </c>
      <c r="J8" s="43">
        <f t="shared" si="4"/>
        <v>199750</v>
      </c>
      <c r="K8" s="43">
        <f t="shared" si="4"/>
        <v>189300</v>
      </c>
      <c r="L8" s="43">
        <f t="shared" si="4"/>
        <v>183500</v>
      </c>
      <c r="M8" s="43">
        <f t="shared" si="4"/>
        <v>190800</v>
      </c>
      <c r="N8" s="43">
        <f t="shared" si="4"/>
        <v>189000</v>
      </c>
      <c r="O8" s="43">
        <f t="shared" si="4"/>
        <v>176830</v>
      </c>
      <c r="P8" s="43">
        <f t="shared" si="4"/>
        <v>207500</v>
      </c>
      <c r="Q8" s="44">
        <f t="shared" si="4"/>
        <v>212400</v>
      </c>
      <c r="R8" s="45">
        <f t="shared" si="4"/>
        <v>191400</v>
      </c>
      <c r="S8" s="45">
        <f t="shared" si="4"/>
        <v>215481</v>
      </c>
      <c r="T8" s="45">
        <f t="shared" si="4"/>
        <v>202892.23</v>
      </c>
      <c r="U8" s="45">
        <f t="shared" si="4"/>
        <v>211500</v>
      </c>
      <c r="V8" s="45"/>
      <c r="W8" s="71"/>
      <c r="X8" s="71"/>
      <c r="Y8" s="71"/>
      <c r="Z8" s="71">
        <f t="shared" si="0"/>
        <v>0</v>
      </c>
      <c r="AA8" s="71"/>
      <c r="AB8" s="72"/>
      <c r="AC8" s="71">
        <f t="shared" si="1"/>
        <v>0</v>
      </c>
      <c r="AD8" s="71"/>
      <c r="AE8" s="83"/>
      <c r="AF8" s="71">
        <f t="shared" si="2"/>
        <v>0</v>
      </c>
      <c r="AG8" s="71"/>
      <c r="AH8" s="73"/>
      <c r="AI8" s="71">
        <f t="shared" si="3"/>
        <v>0</v>
      </c>
      <c r="AJ8" s="71"/>
    </row>
    <row r="9" spans="1:37" hidden="1" x14ac:dyDescent="0.25">
      <c r="A9" s="1" t="s">
        <v>1</v>
      </c>
      <c r="C9" s="41">
        <v>1400</v>
      </c>
      <c r="D9" s="41">
        <v>6800</v>
      </c>
      <c r="E9" s="41">
        <v>4400</v>
      </c>
      <c r="F9" s="41">
        <v>10000</v>
      </c>
      <c r="G9" s="41">
        <v>4000</v>
      </c>
      <c r="H9" s="41">
        <v>12000</v>
      </c>
      <c r="I9" s="41">
        <v>13200</v>
      </c>
      <c r="J9" s="41"/>
      <c r="K9" s="41">
        <v>2800</v>
      </c>
      <c r="L9" s="41"/>
      <c r="M9" s="41" t="s">
        <v>1</v>
      </c>
      <c r="N9" s="41"/>
      <c r="O9" s="41"/>
      <c r="P9" s="41"/>
      <c r="Q9" s="42"/>
      <c r="R9" s="40"/>
      <c r="S9" s="40"/>
      <c r="T9" s="40"/>
      <c r="U9" s="40"/>
      <c r="V9" s="74"/>
      <c r="W9" s="71"/>
      <c r="X9" s="71"/>
      <c r="Y9" s="71"/>
      <c r="Z9" s="71">
        <f t="shared" si="0"/>
        <v>0</v>
      </c>
      <c r="AA9" s="71"/>
      <c r="AB9" s="72"/>
      <c r="AC9" s="71">
        <f t="shared" si="1"/>
        <v>0</v>
      </c>
      <c r="AD9" s="71"/>
      <c r="AE9" s="83"/>
      <c r="AF9" s="71">
        <f t="shared" si="2"/>
        <v>0</v>
      </c>
      <c r="AG9" s="71"/>
      <c r="AH9" s="73"/>
      <c r="AI9" s="71">
        <f t="shared" si="3"/>
        <v>0</v>
      </c>
      <c r="AJ9" s="71"/>
    </row>
    <row r="10" spans="1:37" x14ac:dyDescent="0.25">
      <c r="A10" s="1" t="s">
        <v>14</v>
      </c>
      <c r="B10" s="35">
        <v>3400</v>
      </c>
      <c r="C10" s="41"/>
      <c r="D10" s="41"/>
      <c r="E10" s="41"/>
      <c r="F10" s="41"/>
      <c r="G10" s="41"/>
      <c r="H10" s="41">
        <v>50000</v>
      </c>
      <c r="I10" s="41">
        <v>40000</v>
      </c>
      <c r="J10" s="41">
        <v>40000</v>
      </c>
      <c r="K10" s="41">
        <v>40000</v>
      </c>
      <c r="L10" s="41">
        <v>40000</v>
      </c>
      <c r="M10" s="41">
        <v>30000</v>
      </c>
      <c r="N10" s="41">
        <v>35000</v>
      </c>
      <c r="O10" s="41">
        <v>45000</v>
      </c>
      <c r="P10" s="41">
        <v>35000</v>
      </c>
      <c r="Q10" s="42">
        <v>35000</v>
      </c>
      <c r="R10" s="40">
        <v>50000</v>
      </c>
      <c r="S10" s="40">
        <v>0</v>
      </c>
      <c r="T10" s="40">
        <v>40000</v>
      </c>
      <c r="U10" s="40">
        <v>40000</v>
      </c>
      <c r="V10" s="74">
        <v>40000</v>
      </c>
      <c r="W10" s="71">
        <v>120000</v>
      </c>
      <c r="X10" s="71"/>
      <c r="Y10" s="71">
        <v>80000</v>
      </c>
      <c r="Z10" s="71">
        <f t="shared" si="0"/>
        <v>80000</v>
      </c>
      <c r="AA10" s="71">
        <v>0</v>
      </c>
      <c r="AB10" s="72"/>
      <c r="AC10" s="71">
        <f t="shared" si="1"/>
        <v>0</v>
      </c>
      <c r="AD10" s="72"/>
      <c r="AE10" s="83"/>
      <c r="AF10" s="71">
        <f t="shared" si="2"/>
        <v>0</v>
      </c>
      <c r="AG10" s="72"/>
      <c r="AH10" s="73"/>
      <c r="AI10" s="71">
        <f t="shared" si="3"/>
        <v>0</v>
      </c>
      <c r="AJ10" s="72">
        <v>100000</v>
      </c>
      <c r="AK10" s="1" t="s">
        <v>151</v>
      </c>
    </row>
    <row r="11" spans="1:37" x14ac:dyDescent="0.25">
      <c r="A11" s="1" t="s">
        <v>136</v>
      </c>
      <c r="B11" s="35" t="s">
        <v>140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2"/>
      <c r="R11" s="40"/>
      <c r="S11" s="40"/>
      <c r="T11" s="40"/>
      <c r="U11" s="40"/>
      <c r="V11" s="74"/>
      <c r="W11" s="71"/>
      <c r="X11" s="71"/>
      <c r="Y11" s="71"/>
      <c r="Z11" s="71"/>
      <c r="AA11" s="71">
        <v>10000</v>
      </c>
      <c r="AB11" s="72">
        <v>10000</v>
      </c>
      <c r="AC11" s="71"/>
      <c r="AD11" s="72"/>
      <c r="AE11" s="83"/>
      <c r="AF11" s="71"/>
      <c r="AG11" s="72"/>
      <c r="AH11" s="73"/>
      <c r="AI11" s="71"/>
      <c r="AJ11" s="72"/>
    </row>
    <row r="12" spans="1:37" x14ac:dyDescent="0.25">
      <c r="A12" s="1" t="s">
        <v>15</v>
      </c>
      <c r="B12" s="35">
        <v>3250</v>
      </c>
      <c r="C12" s="41">
        <v>2910</v>
      </c>
      <c r="D12" s="41">
        <v>2240</v>
      </c>
      <c r="E12" s="41">
        <v>700</v>
      </c>
      <c r="F12" s="41">
        <v>2200</v>
      </c>
      <c r="G12" s="41">
        <v>794</v>
      </c>
      <c r="H12" s="41">
        <v>1580</v>
      </c>
      <c r="I12" s="41">
        <v>2750</v>
      </c>
      <c r="J12" s="41">
        <v>6460</v>
      </c>
      <c r="K12" s="41">
        <v>5550</v>
      </c>
      <c r="L12" s="41">
        <v>4080</v>
      </c>
      <c r="M12" s="41">
        <v>8400</v>
      </c>
      <c r="N12" s="41">
        <v>13415</v>
      </c>
      <c r="O12" s="41">
        <v>8475</v>
      </c>
      <c r="P12" s="41">
        <v>11125</v>
      </c>
      <c r="Q12" s="42">
        <v>10191</v>
      </c>
      <c r="R12" s="40">
        <v>11094</v>
      </c>
      <c r="S12" s="40">
        <v>10800</v>
      </c>
      <c r="T12" s="40">
        <v>14876</v>
      </c>
      <c r="U12" s="40">
        <v>10000</v>
      </c>
      <c r="V12" s="74">
        <v>10000</v>
      </c>
      <c r="W12" s="71"/>
      <c r="X12" s="71">
        <v>0</v>
      </c>
      <c r="Y12" s="71">
        <v>0</v>
      </c>
      <c r="Z12" s="71">
        <f t="shared" si="0"/>
        <v>0</v>
      </c>
      <c r="AA12" s="71">
        <v>0</v>
      </c>
      <c r="AB12" s="72">
        <v>0</v>
      </c>
      <c r="AC12" s="71">
        <f t="shared" ref="AC12:AC35" si="5">AB12-AA12</f>
        <v>0</v>
      </c>
      <c r="AD12" s="72"/>
      <c r="AE12" s="83">
        <v>0</v>
      </c>
      <c r="AF12" s="71">
        <f t="shared" ref="AF12:AF35" si="6">AE12-AD12</f>
        <v>0</v>
      </c>
      <c r="AG12" s="72"/>
      <c r="AH12" s="73">
        <v>0</v>
      </c>
      <c r="AI12" s="71">
        <f t="shared" ref="AI12:AI35" si="7">AH12-AG12</f>
        <v>0</v>
      </c>
      <c r="AJ12" s="72"/>
    </row>
    <row r="13" spans="1:37" x14ac:dyDescent="0.25">
      <c r="A13" s="1" t="s">
        <v>142</v>
      </c>
      <c r="B13" s="35" t="s">
        <v>141</v>
      </c>
      <c r="C13" s="41">
        <v>5700</v>
      </c>
      <c r="D13" s="41">
        <v>0</v>
      </c>
      <c r="E13" s="41"/>
      <c r="F13" s="41"/>
      <c r="G13" s="41">
        <v>1315</v>
      </c>
      <c r="H13" s="41">
        <v>18750</v>
      </c>
      <c r="I13" s="41">
        <f>5406+14000</f>
        <v>19406</v>
      </c>
      <c r="J13" s="41">
        <v>23339</v>
      </c>
      <c r="K13" s="41">
        <v>219345</v>
      </c>
      <c r="L13" s="41">
        <v>13897</v>
      </c>
      <c r="M13" s="41">
        <v>11539</v>
      </c>
      <c r="N13" s="41">
        <v>21134</v>
      </c>
      <c r="O13" s="41">
        <v>13401</v>
      </c>
      <c r="P13" s="41">
        <v>20348</v>
      </c>
      <c r="Q13" s="42">
        <v>21018</v>
      </c>
      <c r="R13" s="40">
        <v>14249</v>
      </c>
      <c r="S13" s="40">
        <v>11019</v>
      </c>
      <c r="T13" s="40">
        <f>10170.67+3631+719</f>
        <v>14520.67</v>
      </c>
      <c r="U13" s="40">
        <v>10000</v>
      </c>
      <c r="V13" s="74">
        <v>13000</v>
      </c>
      <c r="W13" s="71">
        <f>3000+17192+8733.29</f>
        <v>28925.29</v>
      </c>
      <c r="X13" s="71">
        <v>15000</v>
      </c>
      <c r="Y13" s="71">
        <f>7697.17+11669+769.25</f>
        <v>20135.419999999998</v>
      </c>
      <c r="Z13" s="71">
        <f t="shared" si="0"/>
        <v>5135.4199999999983</v>
      </c>
      <c r="AA13" s="71">
        <v>50000</v>
      </c>
      <c r="AB13" s="72">
        <f>9100+1087+6578.16+27539</f>
        <v>44304.160000000003</v>
      </c>
      <c r="AC13" s="71">
        <f t="shared" si="5"/>
        <v>-5695.8399999999965</v>
      </c>
      <c r="AD13" s="71">
        <v>15000</v>
      </c>
      <c r="AE13" s="83">
        <f>6064.06+600+3180</f>
        <v>9844.0600000000013</v>
      </c>
      <c r="AF13" s="71">
        <f t="shared" si="6"/>
        <v>-5155.9399999999987</v>
      </c>
      <c r="AG13" s="71">
        <v>15000</v>
      </c>
      <c r="AH13" s="73">
        <f>4539+1201.56+6106.2</f>
        <v>11846.759999999998</v>
      </c>
      <c r="AI13" s="71">
        <f t="shared" si="7"/>
        <v>-3153.2400000000016</v>
      </c>
      <c r="AJ13" s="71">
        <v>5000</v>
      </c>
    </row>
    <row r="14" spans="1:37" s="13" customFormat="1" x14ac:dyDescent="0.25">
      <c r="A14" s="16" t="s">
        <v>17</v>
      </c>
      <c r="B14" s="46"/>
      <c r="C14" s="47">
        <f t="shared" ref="C14:U14" si="8">+SUM(C8:C13)</f>
        <v>128810</v>
      </c>
      <c r="D14" s="47">
        <f t="shared" si="8"/>
        <v>128240</v>
      </c>
      <c r="E14" s="47">
        <f t="shared" si="8"/>
        <v>116700</v>
      </c>
      <c r="F14" s="47">
        <f t="shared" si="8"/>
        <v>134200</v>
      </c>
      <c r="G14" s="47">
        <f t="shared" si="8"/>
        <v>115109</v>
      </c>
      <c r="H14" s="47">
        <f t="shared" si="8"/>
        <v>192130</v>
      </c>
      <c r="I14" s="47">
        <f t="shared" si="8"/>
        <v>184356</v>
      </c>
      <c r="J14" s="47">
        <f t="shared" si="8"/>
        <v>269549</v>
      </c>
      <c r="K14" s="47">
        <f t="shared" si="8"/>
        <v>456995</v>
      </c>
      <c r="L14" s="47">
        <f t="shared" si="8"/>
        <v>241477</v>
      </c>
      <c r="M14" s="47">
        <f t="shared" si="8"/>
        <v>240739</v>
      </c>
      <c r="N14" s="47">
        <f t="shared" si="8"/>
        <v>258549</v>
      </c>
      <c r="O14" s="47">
        <f t="shared" si="8"/>
        <v>243706</v>
      </c>
      <c r="P14" s="47">
        <f t="shared" si="8"/>
        <v>273973</v>
      </c>
      <c r="Q14" s="48">
        <f t="shared" si="8"/>
        <v>278609</v>
      </c>
      <c r="R14" s="49">
        <f t="shared" si="8"/>
        <v>266743</v>
      </c>
      <c r="S14" s="49">
        <f t="shared" si="8"/>
        <v>237300</v>
      </c>
      <c r="T14" s="49">
        <f t="shared" si="8"/>
        <v>272288.90000000002</v>
      </c>
      <c r="U14" s="57">
        <f t="shared" si="8"/>
        <v>271500</v>
      </c>
      <c r="V14" s="75">
        <f>SUM(V6:V13)</f>
        <v>223000</v>
      </c>
      <c r="W14" s="76">
        <f>SUM(W6:W13)</f>
        <v>303175.28999999998</v>
      </c>
      <c r="X14" s="76">
        <f>SUM(X6:X13)</f>
        <v>260000</v>
      </c>
      <c r="Y14" s="76">
        <f>SUM(Y6:Y13)</f>
        <v>331820.42</v>
      </c>
      <c r="Z14" s="76">
        <f t="shared" si="0"/>
        <v>71820.419999999984</v>
      </c>
      <c r="AA14" s="76">
        <f>SUM(AA6:AA13)</f>
        <v>290000</v>
      </c>
      <c r="AB14" s="77">
        <f>SUM(AB6:AB13)</f>
        <v>276929.16000000003</v>
      </c>
      <c r="AC14" s="76">
        <f t="shared" si="5"/>
        <v>-13070.839999999967</v>
      </c>
      <c r="AD14" s="76">
        <f>SUM(AD6:AD13)</f>
        <v>235000</v>
      </c>
      <c r="AE14" s="77">
        <f>SUM(AE6:AE13)</f>
        <v>221944.06</v>
      </c>
      <c r="AF14" s="76">
        <f t="shared" si="6"/>
        <v>-13055.940000000002</v>
      </c>
      <c r="AG14" s="76">
        <f>SUM(AG6:AG13)</f>
        <v>225000</v>
      </c>
      <c r="AH14" s="78">
        <f>SUM(AH6:AH13)</f>
        <v>220111.17</v>
      </c>
      <c r="AI14" s="76">
        <f t="shared" si="7"/>
        <v>-4888.8299999999872</v>
      </c>
      <c r="AJ14" s="76">
        <f>SUM(AJ6:AJ13)</f>
        <v>315000</v>
      </c>
    </row>
    <row r="15" spans="1:37" x14ac:dyDescent="0.25"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2"/>
      <c r="R15" s="40"/>
      <c r="S15" s="40"/>
      <c r="T15" s="40"/>
      <c r="U15" s="40"/>
      <c r="V15" s="74"/>
      <c r="W15" s="71"/>
      <c r="X15" s="71"/>
      <c r="Y15" s="71"/>
      <c r="Z15" s="71">
        <f t="shared" si="0"/>
        <v>0</v>
      </c>
      <c r="AA15" s="71"/>
      <c r="AB15" s="72"/>
      <c r="AC15" s="71">
        <f t="shared" si="5"/>
        <v>0</v>
      </c>
      <c r="AD15" s="71"/>
      <c r="AE15" s="83"/>
      <c r="AF15" s="71">
        <f t="shared" si="6"/>
        <v>0</v>
      </c>
      <c r="AG15" s="71"/>
      <c r="AH15" s="73"/>
      <c r="AI15" s="71">
        <f t="shared" si="7"/>
        <v>0</v>
      </c>
      <c r="AJ15" s="71"/>
    </row>
    <row r="16" spans="1:37" x14ac:dyDescent="0.25">
      <c r="A16" s="1" t="s">
        <v>18</v>
      </c>
      <c r="C16" s="41">
        <v>74400</v>
      </c>
      <c r="D16" s="41">
        <f>73100+1500</f>
        <v>74600</v>
      </c>
      <c r="E16" s="41">
        <v>70800</v>
      </c>
      <c r="F16" s="41">
        <v>76000</v>
      </c>
      <c r="G16" s="41">
        <v>69400</v>
      </c>
      <c r="H16" s="41"/>
      <c r="I16" s="41">
        <v>0</v>
      </c>
      <c r="J16" s="41">
        <v>130000</v>
      </c>
      <c r="K16" s="41"/>
      <c r="L16" s="41"/>
      <c r="M16" s="41"/>
      <c r="N16" s="41"/>
      <c r="O16" s="42"/>
      <c r="P16" s="42"/>
      <c r="Q16" s="42"/>
      <c r="R16" s="40">
        <v>0</v>
      </c>
      <c r="S16" s="40"/>
      <c r="T16" s="40"/>
      <c r="U16" s="40">
        <v>0</v>
      </c>
      <c r="V16" s="74"/>
      <c r="W16" s="71"/>
      <c r="X16" s="71"/>
      <c r="Y16" s="71"/>
      <c r="Z16" s="71">
        <f t="shared" si="0"/>
        <v>0</v>
      </c>
      <c r="AA16" s="71"/>
      <c r="AB16" s="72"/>
      <c r="AC16" s="71">
        <f t="shared" si="5"/>
        <v>0</v>
      </c>
      <c r="AD16" s="71"/>
      <c r="AE16" s="83"/>
      <c r="AF16" s="71">
        <f t="shared" si="6"/>
        <v>0</v>
      </c>
      <c r="AG16" s="71"/>
      <c r="AH16" s="73"/>
      <c r="AI16" s="71">
        <f t="shared" si="7"/>
        <v>0</v>
      </c>
      <c r="AJ16" s="71"/>
    </row>
    <row r="17" spans="1:37" x14ac:dyDescent="0.25">
      <c r="A17" s="1" t="s">
        <v>77</v>
      </c>
      <c r="B17" s="35">
        <v>7450</v>
      </c>
      <c r="C17" s="41"/>
      <c r="D17" s="41"/>
      <c r="E17" s="41"/>
      <c r="F17" s="41"/>
      <c r="G17" s="41"/>
      <c r="H17" s="41">
        <v>115000</v>
      </c>
      <c r="I17" s="41">
        <v>110000</v>
      </c>
      <c r="J17" s="41">
        <v>55000</v>
      </c>
      <c r="K17" s="41">
        <v>175000</v>
      </c>
      <c r="L17" s="43">
        <v>170000</v>
      </c>
      <c r="M17" s="43">
        <v>170000</v>
      </c>
      <c r="N17" s="43">
        <v>170000</v>
      </c>
      <c r="O17" s="44">
        <v>170000</v>
      </c>
      <c r="P17" s="44">
        <v>170000</v>
      </c>
      <c r="Q17" s="44">
        <v>170000</v>
      </c>
      <c r="R17" s="45">
        <v>170000</v>
      </c>
      <c r="S17" s="45">
        <v>170000</v>
      </c>
      <c r="T17" s="45">
        <v>117645</v>
      </c>
      <c r="U17" s="50"/>
      <c r="V17" s="74">
        <v>120000</v>
      </c>
      <c r="W17" s="71">
        <v>120000</v>
      </c>
      <c r="X17" s="71">
        <v>120000</v>
      </c>
      <c r="Y17" s="71">
        <v>120000</v>
      </c>
      <c r="Z17" s="71">
        <f t="shared" si="0"/>
        <v>0</v>
      </c>
      <c r="AA17" s="71">
        <v>120000</v>
      </c>
      <c r="AB17" s="72">
        <v>120000</v>
      </c>
      <c r="AC17" s="71">
        <f t="shared" si="5"/>
        <v>0</v>
      </c>
      <c r="AD17" s="72">
        <v>120000</v>
      </c>
      <c r="AE17" s="83">
        <v>120000</v>
      </c>
      <c r="AF17" s="71">
        <f t="shared" si="6"/>
        <v>0</v>
      </c>
      <c r="AG17" s="72">
        <v>110000</v>
      </c>
      <c r="AH17" s="73">
        <v>101320</v>
      </c>
      <c r="AI17" s="71">
        <f t="shared" si="7"/>
        <v>-8680</v>
      </c>
      <c r="AJ17" s="72">
        <v>100000</v>
      </c>
      <c r="AK17" s="1" t="s">
        <v>150</v>
      </c>
    </row>
    <row r="18" spans="1:37" x14ac:dyDescent="0.25">
      <c r="A18" s="1" t="s">
        <v>21</v>
      </c>
      <c r="B18" s="35">
        <v>7450</v>
      </c>
      <c r="C18" s="41">
        <v>2000</v>
      </c>
      <c r="D18" s="41">
        <v>3000</v>
      </c>
      <c r="E18" s="41">
        <v>3000</v>
      </c>
      <c r="F18" s="41">
        <v>3000</v>
      </c>
      <c r="G18" s="41">
        <v>3000</v>
      </c>
      <c r="H18" s="41"/>
      <c r="I18" s="41">
        <v>15000</v>
      </c>
      <c r="J18" s="41">
        <v>10000</v>
      </c>
      <c r="K18" s="41">
        <v>10000</v>
      </c>
      <c r="L18" s="43">
        <v>10000</v>
      </c>
      <c r="M18" s="43">
        <v>10000</v>
      </c>
      <c r="N18" s="43">
        <v>10000</v>
      </c>
      <c r="O18" s="44">
        <v>10000</v>
      </c>
      <c r="P18" s="44">
        <v>10000</v>
      </c>
      <c r="Q18" s="44">
        <v>10000</v>
      </c>
      <c r="R18" s="45">
        <v>10000</v>
      </c>
      <c r="S18" s="45">
        <v>10000</v>
      </c>
      <c r="T18" s="45">
        <v>10000</v>
      </c>
      <c r="U18" s="45">
        <v>10000</v>
      </c>
      <c r="V18" s="74">
        <v>10000</v>
      </c>
      <c r="W18" s="71">
        <v>10000</v>
      </c>
      <c r="X18" s="71">
        <v>10000</v>
      </c>
      <c r="Y18" s="71">
        <v>10000</v>
      </c>
      <c r="Z18" s="71">
        <f t="shared" si="0"/>
        <v>0</v>
      </c>
      <c r="AA18" s="71">
        <v>10000</v>
      </c>
      <c r="AB18" s="72">
        <v>10000</v>
      </c>
      <c r="AC18" s="71">
        <f t="shared" si="5"/>
        <v>0</v>
      </c>
      <c r="AD18" s="72">
        <v>10000</v>
      </c>
      <c r="AE18" s="83">
        <v>10000</v>
      </c>
      <c r="AF18" s="71">
        <f t="shared" si="6"/>
        <v>0</v>
      </c>
      <c r="AG18" s="72">
        <v>10000</v>
      </c>
      <c r="AH18" s="73">
        <v>10000</v>
      </c>
      <c r="AI18" s="71">
        <f t="shared" si="7"/>
        <v>0</v>
      </c>
      <c r="AJ18" s="72">
        <v>10000</v>
      </c>
    </row>
    <row r="19" spans="1:37" x14ac:dyDescent="0.25">
      <c r="A19" s="1" t="s">
        <v>22</v>
      </c>
      <c r="B19" s="35">
        <v>7450</v>
      </c>
      <c r="C19" s="41">
        <v>2000</v>
      </c>
      <c r="D19" s="41">
        <v>3000</v>
      </c>
      <c r="E19" s="41">
        <v>3000</v>
      </c>
      <c r="F19" s="41">
        <v>3000</v>
      </c>
      <c r="G19" s="41">
        <v>3000</v>
      </c>
      <c r="H19" s="41">
        <v>5000</v>
      </c>
      <c r="I19" s="41">
        <v>0</v>
      </c>
      <c r="J19" s="41"/>
      <c r="K19" s="41"/>
      <c r="L19" s="41"/>
      <c r="M19" s="41"/>
      <c r="N19" s="41"/>
      <c r="O19" s="41"/>
      <c r="P19" s="41"/>
      <c r="Q19" s="42">
        <v>5000</v>
      </c>
      <c r="R19" s="45">
        <v>5000</v>
      </c>
      <c r="S19" s="45">
        <v>5000</v>
      </c>
      <c r="T19" s="45">
        <v>5000</v>
      </c>
      <c r="U19" s="45">
        <v>5000</v>
      </c>
      <c r="V19" s="74">
        <v>5000</v>
      </c>
      <c r="W19" s="71">
        <v>5000</v>
      </c>
      <c r="X19" s="71">
        <v>5000</v>
      </c>
      <c r="Y19" s="71">
        <v>5000</v>
      </c>
      <c r="Z19" s="71">
        <f t="shared" si="0"/>
        <v>0</v>
      </c>
      <c r="AA19" s="71">
        <v>5000</v>
      </c>
      <c r="AB19" s="72">
        <v>5000</v>
      </c>
      <c r="AC19" s="71">
        <f t="shared" si="5"/>
        <v>0</v>
      </c>
      <c r="AD19" s="72">
        <v>5000</v>
      </c>
      <c r="AE19" s="83">
        <v>5000</v>
      </c>
      <c r="AF19" s="71">
        <f t="shared" si="6"/>
        <v>0</v>
      </c>
      <c r="AG19" s="72">
        <v>5000</v>
      </c>
      <c r="AH19" s="73">
        <v>5000</v>
      </c>
      <c r="AI19" s="71">
        <f t="shared" si="7"/>
        <v>0</v>
      </c>
      <c r="AJ19" s="72">
        <v>5000</v>
      </c>
    </row>
    <row r="20" spans="1:37" x14ac:dyDescent="0.25">
      <c r="A20" s="1" t="s">
        <v>15</v>
      </c>
      <c r="B20" s="35">
        <v>6581</v>
      </c>
      <c r="C20" s="41"/>
      <c r="D20" s="41">
        <v>12000</v>
      </c>
      <c r="E20" s="41"/>
      <c r="F20" s="41"/>
      <c r="G20" s="41">
        <v>0</v>
      </c>
      <c r="H20" s="41"/>
      <c r="I20" s="41">
        <v>12324</v>
      </c>
      <c r="J20" s="41"/>
      <c r="K20" s="41">
        <v>2950</v>
      </c>
      <c r="L20" s="41"/>
      <c r="M20" s="41"/>
      <c r="N20" s="41"/>
      <c r="O20" s="41">
        <v>4850</v>
      </c>
      <c r="P20" s="41">
        <v>2250</v>
      </c>
      <c r="Q20" s="42">
        <v>3000</v>
      </c>
      <c r="R20" s="40">
        <v>3200</v>
      </c>
      <c r="S20" s="40">
        <v>1719</v>
      </c>
      <c r="T20" s="40">
        <v>86338</v>
      </c>
      <c r="U20" s="40">
        <v>10000</v>
      </c>
      <c r="V20" s="74"/>
      <c r="W20" s="71"/>
      <c r="X20" s="71">
        <v>0</v>
      </c>
      <c r="Y20" s="71"/>
      <c r="Z20" s="71">
        <f t="shared" si="0"/>
        <v>0</v>
      </c>
      <c r="AA20" s="71">
        <v>0</v>
      </c>
      <c r="AB20" s="72"/>
      <c r="AC20" s="71">
        <f t="shared" si="5"/>
        <v>0</v>
      </c>
      <c r="AD20" s="72"/>
      <c r="AE20" s="83"/>
      <c r="AF20" s="71">
        <f t="shared" si="6"/>
        <v>0</v>
      </c>
      <c r="AG20" s="72"/>
      <c r="AH20" s="73"/>
      <c r="AI20" s="71">
        <f t="shared" si="7"/>
        <v>0</v>
      </c>
      <c r="AJ20" s="72"/>
    </row>
    <row r="21" spans="1:37" x14ac:dyDescent="0.25">
      <c r="A21" s="1" t="s">
        <v>92</v>
      </c>
      <c r="B21" s="35" t="s">
        <v>113</v>
      </c>
      <c r="C21" s="41"/>
      <c r="D21" s="41"/>
      <c r="E21" s="41"/>
      <c r="F21" s="41"/>
      <c r="G21" s="41"/>
      <c r="H21" s="41"/>
      <c r="I21" s="41"/>
      <c r="J21" s="41" t="s">
        <v>1</v>
      </c>
      <c r="K21" s="41"/>
      <c r="L21" s="41">
        <v>19000</v>
      </c>
      <c r="M21" s="41"/>
      <c r="N21" s="41">
        <v>40300</v>
      </c>
      <c r="O21" s="41">
        <v>3428</v>
      </c>
      <c r="P21" s="41"/>
      <c r="Q21" s="42">
        <v>21313</v>
      </c>
      <c r="R21" s="40">
        <v>0</v>
      </c>
      <c r="S21" s="40">
        <v>1734</v>
      </c>
      <c r="T21" s="40"/>
      <c r="U21" s="40"/>
      <c r="V21" s="74">
        <v>60000</v>
      </c>
      <c r="W21" s="71">
        <f>14930+9768</f>
        <v>24698</v>
      </c>
      <c r="X21" s="71">
        <v>175000</v>
      </c>
      <c r="Y21" s="71">
        <v>167459</v>
      </c>
      <c r="Z21" s="71">
        <f t="shared" si="0"/>
        <v>-7541</v>
      </c>
      <c r="AA21" s="71">
        <v>150000</v>
      </c>
      <c r="AB21" s="72">
        <f>25543.75</f>
        <v>25543.75</v>
      </c>
      <c r="AC21" s="71">
        <f t="shared" si="5"/>
        <v>-124456.25</v>
      </c>
      <c r="AD21" s="72">
        <v>120000</v>
      </c>
      <c r="AE21" s="83">
        <v>32744.5</v>
      </c>
      <c r="AF21" s="71">
        <f t="shared" si="6"/>
        <v>-87255.5</v>
      </c>
      <c r="AG21" s="72">
        <v>80000</v>
      </c>
      <c r="AH21" s="73">
        <f>5980</f>
        <v>5980</v>
      </c>
      <c r="AI21" s="71">
        <f t="shared" si="7"/>
        <v>-74020</v>
      </c>
      <c r="AJ21" s="72">
        <v>170000</v>
      </c>
      <c r="AK21" s="1" t="s">
        <v>152</v>
      </c>
    </row>
    <row r="22" spans="1:37" x14ac:dyDescent="0.25">
      <c r="A22" s="1" t="s">
        <v>99</v>
      </c>
      <c r="B22" s="35" t="s">
        <v>100</v>
      </c>
      <c r="C22" s="41"/>
      <c r="D22" s="41"/>
      <c r="E22" s="41"/>
      <c r="F22" s="41">
        <v>9105</v>
      </c>
      <c r="G22" s="41">
        <v>0</v>
      </c>
      <c r="H22" s="41">
        <v>5962</v>
      </c>
      <c r="I22" s="41">
        <v>36162</v>
      </c>
      <c r="J22" s="41">
        <v>0</v>
      </c>
      <c r="K22" s="41"/>
      <c r="L22" s="41"/>
      <c r="M22" s="41"/>
      <c r="N22" s="41"/>
      <c r="O22" s="42"/>
      <c r="P22" s="42"/>
      <c r="Q22" s="42"/>
      <c r="R22" s="40">
        <v>0</v>
      </c>
      <c r="S22" s="40">
        <v>9900</v>
      </c>
      <c r="T22" s="40"/>
      <c r="U22" s="40">
        <v>37500</v>
      </c>
      <c r="V22" s="74">
        <v>15000</v>
      </c>
      <c r="W22" s="71"/>
      <c r="X22" s="71">
        <v>15000</v>
      </c>
      <c r="Y22" s="71">
        <v>0</v>
      </c>
      <c r="Z22" s="71">
        <f t="shared" si="0"/>
        <v>-15000</v>
      </c>
      <c r="AA22" s="71">
        <v>15000</v>
      </c>
      <c r="AB22" s="72">
        <v>0</v>
      </c>
      <c r="AC22" s="71">
        <f t="shared" si="5"/>
        <v>-15000</v>
      </c>
      <c r="AD22" s="72">
        <v>0</v>
      </c>
      <c r="AE22" s="83">
        <v>0</v>
      </c>
      <c r="AF22" s="71">
        <f t="shared" si="6"/>
        <v>0</v>
      </c>
      <c r="AG22" s="72">
        <v>0</v>
      </c>
      <c r="AH22" s="73">
        <v>0</v>
      </c>
      <c r="AI22" s="71">
        <f t="shared" si="7"/>
        <v>0</v>
      </c>
      <c r="AJ22" s="72"/>
    </row>
    <row r="23" spans="1:37" x14ac:dyDescent="0.25">
      <c r="A23" s="1" t="s">
        <v>94</v>
      </c>
      <c r="B23" s="35">
        <v>7400</v>
      </c>
      <c r="C23" s="41"/>
      <c r="D23" s="41"/>
      <c r="E23" s="41"/>
      <c r="F23" s="41"/>
      <c r="G23" s="41"/>
      <c r="H23" s="41"/>
      <c r="I23" s="41"/>
      <c r="J23" s="41"/>
      <c r="K23" s="41">
        <v>200106</v>
      </c>
      <c r="L23" s="41"/>
      <c r="M23" s="41"/>
      <c r="N23" s="41"/>
      <c r="O23" s="41"/>
      <c r="P23" s="41" t="s">
        <v>1</v>
      </c>
      <c r="Q23" s="42">
        <v>0</v>
      </c>
      <c r="R23" s="40">
        <v>0</v>
      </c>
      <c r="S23" s="40">
        <v>2250</v>
      </c>
      <c r="T23" s="40">
        <v>2812.5</v>
      </c>
      <c r="U23" s="40">
        <v>0</v>
      </c>
      <c r="V23" s="74">
        <v>2800</v>
      </c>
      <c r="W23" s="71"/>
      <c r="X23" s="71">
        <v>0</v>
      </c>
      <c r="Y23" s="71">
        <v>2812.5</v>
      </c>
      <c r="Z23" s="71">
        <f t="shared" si="0"/>
        <v>2812.5</v>
      </c>
      <c r="AA23" s="71">
        <v>0</v>
      </c>
      <c r="AB23" s="72">
        <v>3043.75</v>
      </c>
      <c r="AC23" s="71">
        <f t="shared" si="5"/>
        <v>3043.75</v>
      </c>
      <c r="AD23" s="72">
        <v>3100</v>
      </c>
      <c r="AE23" s="83">
        <v>3043.75</v>
      </c>
      <c r="AF23" s="71">
        <f t="shared" si="6"/>
        <v>-56.25</v>
      </c>
      <c r="AG23" s="72">
        <v>3100</v>
      </c>
      <c r="AH23" s="73">
        <v>3043.75</v>
      </c>
      <c r="AI23" s="71">
        <f t="shared" si="7"/>
        <v>-56.25</v>
      </c>
      <c r="AJ23" s="72">
        <v>3000</v>
      </c>
    </row>
    <row r="24" spans="1:37" x14ac:dyDescent="0.25">
      <c r="A24" s="1" t="s">
        <v>101</v>
      </c>
      <c r="B24" s="35">
        <v>6720</v>
      </c>
      <c r="C24" s="41"/>
      <c r="D24" s="41"/>
      <c r="E24" s="41"/>
      <c r="F24" s="41"/>
      <c r="G24" s="41"/>
      <c r="H24" s="41"/>
      <c r="I24" s="41"/>
      <c r="J24" s="41"/>
      <c r="K24" s="41">
        <v>52800</v>
      </c>
      <c r="L24" s="41"/>
      <c r="M24" s="41"/>
      <c r="N24" s="41"/>
      <c r="O24" s="41"/>
      <c r="P24" s="41">
        <v>21879</v>
      </c>
      <c r="Q24" s="42"/>
      <c r="R24" s="40">
        <v>0</v>
      </c>
      <c r="S24" s="40"/>
      <c r="T24" s="40">
        <v>75700</v>
      </c>
      <c r="U24" s="40">
        <v>50000</v>
      </c>
      <c r="V24" s="74">
        <v>0</v>
      </c>
      <c r="W24" s="71"/>
      <c r="X24" s="71">
        <v>0</v>
      </c>
      <c r="Y24" s="71"/>
      <c r="Z24" s="71">
        <f t="shared" si="0"/>
        <v>0</v>
      </c>
      <c r="AA24" s="71">
        <v>0</v>
      </c>
      <c r="AB24" s="72"/>
      <c r="AC24" s="71">
        <f t="shared" si="5"/>
        <v>0</v>
      </c>
      <c r="AD24" s="72">
        <v>0</v>
      </c>
      <c r="AE24" s="83"/>
      <c r="AF24" s="71">
        <f t="shared" si="6"/>
        <v>0</v>
      </c>
      <c r="AG24" s="72">
        <v>0</v>
      </c>
      <c r="AH24" s="73"/>
      <c r="AI24" s="71">
        <f t="shared" si="7"/>
        <v>0</v>
      </c>
      <c r="AJ24" s="72"/>
    </row>
    <row r="25" spans="1:37" x14ac:dyDescent="0.25">
      <c r="A25" s="1" t="s">
        <v>25</v>
      </c>
      <c r="C25" s="41"/>
      <c r="D25" s="41">
        <v>999</v>
      </c>
      <c r="E25" s="41"/>
      <c r="F25" s="41">
        <v>0</v>
      </c>
      <c r="G25" s="41">
        <v>5291</v>
      </c>
      <c r="H25" s="41"/>
      <c r="I25" s="41">
        <v>10655</v>
      </c>
      <c r="J25" s="41">
        <v>5204</v>
      </c>
      <c r="K25" s="41"/>
      <c r="L25" s="41"/>
      <c r="M25" s="41"/>
      <c r="N25" s="41"/>
      <c r="O25" s="41"/>
      <c r="P25" s="41">
        <v>9080</v>
      </c>
      <c r="Q25" s="42"/>
      <c r="R25" s="40">
        <v>0</v>
      </c>
      <c r="S25" s="40"/>
      <c r="T25" s="40"/>
      <c r="U25" s="40"/>
      <c r="V25" s="74"/>
      <c r="W25" s="71"/>
      <c r="X25" s="71"/>
      <c r="Y25" s="71"/>
      <c r="Z25" s="71">
        <f t="shared" si="0"/>
        <v>0</v>
      </c>
      <c r="AA25" s="71"/>
      <c r="AB25" s="72"/>
      <c r="AC25" s="71">
        <f t="shared" si="5"/>
        <v>0</v>
      </c>
      <c r="AD25" s="72"/>
      <c r="AE25" s="83"/>
      <c r="AF25" s="71">
        <f t="shared" si="6"/>
        <v>0</v>
      </c>
      <c r="AG25" s="72"/>
      <c r="AH25" s="73"/>
      <c r="AI25" s="71">
        <f t="shared" si="7"/>
        <v>0</v>
      </c>
      <c r="AJ25" s="72"/>
    </row>
    <row r="26" spans="1:37" x14ac:dyDescent="0.25">
      <c r="A26" s="1" t="s">
        <v>26</v>
      </c>
      <c r="B26" s="35">
        <v>6940</v>
      </c>
      <c r="C26" s="41">
        <f>11227+4500</f>
        <v>15727</v>
      </c>
      <c r="D26" s="41">
        <v>8214</v>
      </c>
      <c r="E26" s="41">
        <v>7353</v>
      </c>
      <c r="F26" s="41">
        <v>7608</v>
      </c>
      <c r="G26" s="41">
        <v>6480</v>
      </c>
      <c r="H26" s="41">
        <f>6671+525</f>
        <v>7196</v>
      </c>
      <c r="I26" s="41">
        <v>2911</v>
      </c>
      <c r="J26" s="41">
        <v>2250</v>
      </c>
      <c r="K26" s="41">
        <v>5850</v>
      </c>
      <c r="L26" s="41">
        <v>5791</v>
      </c>
      <c r="M26" s="41">
        <v>4582</v>
      </c>
      <c r="N26" s="41">
        <v>4416</v>
      </c>
      <c r="O26" s="41">
        <v>4920</v>
      </c>
      <c r="P26" s="41">
        <v>6944</v>
      </c>
      <c r="Q26" s="42">
        <v>5960</v>
      </c>
      <c r="R26" s="40">
        <v>8250</v>
      </c>
      <c r="S26" s="40">
        <v>9267</v>
      </c>
      <c r="T26" s="40">
        <v>9753.7000000000007</v>
      </c>
      <c r="U26" s="40">
        <v>11000</v>
      </c>
      <c r="V26" s="74">
        <v>10000</v>
      </c>
      <c r="W26" s="71">
        <v>8246</v>
      </c>
      <c r="X26" s="71">
        <v>8000</v>
      </c>
      <c r="Y26" s="71">
        <v>4970</v>
      </c>
      <c r="Z26" s="71">
        <f t="shared" si="0"/>
        <v>-3030</v>
      </c>
      <c r="AA26" s="71">
        <v>5000</v>
      </c>
      <c r="AB26" s="72">
        <v>4766.25</v>
      </c>
      <c r="AC26" s="71">
        <f t="shared" si="5"/>
        <v>-233.75</v>
      </c>
      <c r="AD26" s="72">
        <v>4500</v>
      </c>
      <c r="AE26" s="83">
        <v>4071.25</v>
      </c>
      <c r="AF26" s="71">
        <f t="shared" si="6"/>
        <v>-428.75</v>
      </c>
      <c r="AG26" s="72">
        <v>4500</v>
      </c>
      <c r="AH26" s="73">
        <v>3545</v>
      </c>
      <c r="AI26" s="71">
        <f t="shared" si="7"/>
        <v>-955</v>
      </c>
      <c r="AJ26" s="72">
        <v>3000</v>
      </c>
    </row>
    <row r="27" spans="1:37" x14ac:dyDescent="0.25">
      <c r="A27" s="1" t="s">
        <v>27</v>
      </c>
      <c r="B27" s="35">
        <v>7500</v>
      </c>
      <c r="C27" s="41">
        <v>1950</v>
      </c>
      <c r="D27" s="41">
        <v>2475</v>
      </c>
      <c r="E27" s="41">
        <v>2475</v>
      </c>
      <c r="F27" s="41">
        <v>2750</v>
      </c>
      <c r="G27" s="41">
        <v>2750</v>
      </c>
      <c r="H27" s="41">
        <v>2802</v>
      </c>
      <c r="I27" s="41">
        <v>3800</v>
      </c>
      <c r="J27" s="41">
        <v>3800</v>
      </c>
      <c r="K27" s="41">
        <v>4280</v>
      </c>
      <c r="L27" s="41">
        <v>4280</v>
      </c>
      <c r="M27" s="41">
        <v>4190</v>
      </c>
      <c r="N27" s="41">
        <v>4280</v>
      </c>
      <c r="O27" s="41">
        <v>5420</v>
      </c>
      <c r="P27" s="41">
        <v>5420</v>
      </c>
      <c r="Q27" s="42">
        <v>5420</v>
      </c>
      <c r="R27" s="40">
        <v>5420</v>
      </c>
      <c r="S27" s="40"/>
      <c r="T27" s="40">
        <v>6050</v>
      </c>
      <c r="U27" s="40"/>
      <c r="V27" s="74">
        <v>6500</v>
      </c>
      <c r="W27" s="71">
        <v>6150</v>
      </c>
      <c r="X27" s="71">
        <v>6500</v>
      </c>
      <c r="Y27" s="71">
        <v>6150</v>
      </c>
      <c r="Z27" s="71">
        <f t="shared" si="0"/>
        <v>-350</v>
      </c>
      <c r="AA27" s="71">
        <v>6500</v>
      </c>
      <c r="AB27" s="72">
        <v>6780</v>
      </c>
      <c r="AC27" s="71">
        <f t="shared" si="5"/>
        <v>280</v>
      </c>
      <c r="AD27" s="72">
        <v>7000</v>
      </c>
      <c r="AE27" s="83">
        <v>6822</v>
      </c>
      <c r="AF27" s="71">
        <f t="shared" si="6"/>
        <v>-178</v>
      </c>
      <c r="AG27" s="72">
        <v>7000</v>
      </c>
      <c r="AH27" s="73">
        <v>7607</v>
      </c>
      <c r="AI27" s="71">
        <f t="shared" si="7"/>
        <v>607</v>
      </c>
      <c r="AJ27" s="72">
        <v>8000</v>
      </c>
    </row>
    <row r="28" spans="1:37" x14ac:dyDescent="0.25">
      <c r="A28" s="1" t="s">
        <v>28</v>
      </c>
      <c r="B28" s="35">
        <v>7700</v>
      </c>
      <c r="C28" s="41">
        <v>5020</v>
      </c>
      <c r="D28" s="41">
        <v>5586</v>
      </c>
      <c r="E28" s="41">
        <v>6158</v>
      </c>
      <c r="F28" s="41">
        <v>7228</v>
      </c>
      <c r="G28" s="41">
        <v>4578</v>
      </c>
      <c r="H28" s="41">
        <v>7116</v>
      </c>
      <c r="I28" s="41">
        <v>8935</v>
      </c>
      <c r="J28" s="41">
        <v>7193</v>
      </c>
      <c r="K28" s="41">
        <v>5343</v>
      </c>
      <c r="L28" s="41">
        <v>11935</v>
      </c>
      <c r="M28" s="41">
        <v>6746</v>
      </c>
      <c r="N28" s="41">
        <v>7124</v>
      </c>
      <c r="O28" s="41">
        <v>10899</v>
      </c>
      <c r="P28" s="41">
        <v>16114</v>
      </c>
      <c r="Q28" s="42">
        <v>15175</v>
      </c>
      <c r="R28" s="40">
        <v>2612</v>
      </c>
      <c r="S28" s="40">
        <v>13303</v>
      </c>
      <c r="T28" s="40">
        <v>929</v>
      </c>
      <c r="U28" s="40">
        <v>15000</v>
      </c>
      <c r="V28" s="74">
        <v>10000</v>
      </c>
      <c r="W28" s="71"/>
      <c r="X28" s="71">
        <v>3000</v>
      </c>
      <c r="Y28" s="71"/>
      <c r="Z28" s="71">
        <f t="shared" si="0"/>
        <v>-3000</v>
      </c>
      <c r="AA28" s="71">
        <v>3000</v>
      </c>
      <c r="AB28" s="72"/>
      <c r="AC28" s="71">
        <f t="shared" si="5"/>
        <v>-3000</v>
      </c>
      <c r="AD28" s="72">
        <v>3000</v>
      </c>
      <c r="AE28" s="83">
        <v>5740</v>
      </c>
      <c r="AF28" s="71">
        <f t="shared" si="6"/>
        <v>2740</v>
      </c>
      <c r="AG28" s="72">
        <v>3000</v>
      </c>
      <c r="AH28" s="73">
        <v>0</v>
      </c>
      <c r="AI28" s="71">
        <f t="shared" si="7"/>
        <v>-3000</v>
      </c>
      <c r="AJ28" s="72">
        <v>2000</v>
      </c>
    </row>
    <row r="29" spans="1:37" x14ac:dyDescent="0.25">
      <c r="A29" s="1" t="s">
        <v>114</v>
      </c>
      <c r="B29" s="35" t="s">
        <v>115</v>
      </c>
      <c r="C29" s="41">
        <v>10086</v>
      </c>
      <c r="D29" s="41">
        <v>8076</v>
      </c>
      <c r="E29" s="41">
        <v>7488</v>
      </c>
      <c r="F29" s="41">
        <v>8365</v>
      </c>
      <c r="G29" s="41">
        <v>6990</v>
      </c>
      <c r="H29" s="41">
        <v>7460</v>
      </c>
      <c r="I29" s="41">
        <v>6500</v>
      </c>
      <c r="J29" s="41">
        <v>3860</v>
      </c>
      <c r="K29" s="41">
        <v>4273</v>
      </c>
      <c r="L29" s="41">
        <v>6038</v>
      </c>
      <c r="M29" s="41">
        <v>2960</v>
      </c>
      <c r="N29" s="41">
        <v>3965</v>
      </c>
      <c r="O29" s="41">
        <v>2420</v>
      </c>
      <c r="P29" s="41">
        <v>6762</v>
      </c>
      <c r="Q29" s="42">
        <v>2835</v>
      </c>
      <c r="R29" s="40">
        <v>3120</v>
      </c>
      <c r="S29" s="40">
        <v>4410</v>
      </c>
      <c r="T29" s="40">
        <v>4672</v>
      </c>
      <c r="U29" s="40">
        <v>5000</v>
      </c>
      <c r="V29" s="74">
        <v>5000</v>
      </c>
      <c r="W29" s="71">
        <f>8450</f>
        <v>8450</v>
      </c>
      <c r="X29" s="71">
        <v>5000</v>
      </c>
      <c r="Y29" s="71">
        <v>7320</v>
      </c>
      <c r="Z29" s="71">
        <f t="shared" si="0"/>
        <v>2320</v>
      </c>
      <c r="AA29" s="71">
        <v>5000</v>
      </c>
      <c r="AB29" s="72">
        <v>700</v>
      </c>
      <c r="AC29" s="71">
        <f t="shared" si="5"/>
        <v>-4300</v>
      </c>
      <c r="AD29" s="72">
        <v>3000</v>
      </c>
      <c r="AE29" s="83">
        <f>6650+400</f>
        <v>7050</v>
      </c>
      <c r="AF29" s="71">
        <f t="shared" si="6"/>
        <v>4050</v>
      </c>
      <c r="AG29" s="72">
        <v>3000</v>
      </c>
      <c r="AH29" s="73">
        <v>3650</v>
      </c>
      <c r="AI29" s="71">
        <f t="shared" si="7"/>
        <v>650</v>
      </c>
      <c r="AJ29" s="72">
        <v>3000</v>
      </c>
    </row>
    <row r="30" spans="1:37" x14ac:dyDescent="0.25">
      <c r="A30" s="1" t="s">
        <v>82</v>
      </c>
      <c r="B30" s="35" t="s">
        <v>102</v>
      </c>
      <c r="C30" s="41"/>
      <c r="D30" s="41"/>
      <c r="E30" s="41"/>
      <c r="F30" s="41"/>
      <c r="G30" s="41"/>
      <c r="H30" s="41"/>
      <c r="I30" s="41"/>
      <c r="J30" s="41">
        <v>5954</v>
      </c>
      <c r="K30" s="41">
        <v>16314</v>
      </c>
      <c r="L30" s="41">
        <v>7766</v>
      </c>
      <c r="M30" s="41">
        <v>11592</v>
      </c>
      <c r="N30" s="41">
        <v>5491</v>
      </c>
      <c r="O30" s="41">
        <v>2008</v>
      </c>
      <c r="P30" s="41">
        <v>2452</v>
      </c>
      <c r="Q30" s="42">
        <v>7065</v>
      </c>
      <c r="R30" s="40">
        <v>6161</v>
      </c>
      <c r="S30" s="40">
        <v>915</v>
      </c>
      <c r="T30" s="40"/>
      <c r="U30" s="40">
        <v>2000</v>
      </c>
      <c r="V30" s="74">
        <v>2000</v>
      </c>
      <c r="W30" s="71"/>
      <c r="X30" s="71">
        <v>2000</v>
      </c>
      <c r="Y30" s="71">
        <v>1052</v>
      </c>
      <c r="Z30" s="71">
        <f t="shared" si="0"/>
        <v>-948</v>
      </c>
      <c r="AA30" s="71">
        <v>1000</v>
      </c>
      <c r="AB30" s="72"/>
      <c r="AC30" s="71">
        <f t="shared" si="5"/>
        <v>-1000</v>
      </c>
      <c r="AD30" s="72">
        <v>1000</v>
      </c>
      <c r="AE30" s="83"/>
      <c r="AF30" s="71">
        <f t="shared" si="6"/>
        <v>-1000</v>
      </c>
      <c r="AG30" s="72">
        <v>1000</v>
      </c>
      <c r="AH30" s="73"/>
      <c r="AI30" s="71">
        <f t="shared" si="7"/>
        <v>-1000</v>
      </c>
      <c r="AJ30" s="72">
        <v>1000</v>
      </c>
    </row>
    <row r="31" spans="1:37" x14ac:dyDescent="0.25">
      <c r="A31" s="1" t="s">
        <v>30</v>
      </c>
      <c r="B31" s="35">
        <v>7770</v>
      </c>
      <c r="C31" s="41">
        <v>648</v>
      </c>
      <c r="D31" s="41">
        <v>605</v>
      </c>
      <c r="E31" s="41">
        <v>599</v>
      </c>
      <c r="F31" s="41">
        <v>608</v>
      </c>
      <c r="G31" s="41">
        <v>570</v>
      </c>
      <c r="H31" s="41">
        <v>585</v>
      </c>
      <c r="I31" s="41">
        <v>613</v>
      </c>
      <c r="J31" s="41">
        <v>1598</v>
      </c>
      <c r="K31" s="41">
        <v>1663</v>
      </c>
      <c r="L31" s="41">
        <v>2178</v>
      </c>
      <c r="M31" s="41">
        <v>1670</v>
      </c>
      <c r="N31" s="41">
        <v>1846</v>
      </c>
      <c r="O31" s="41">
        <v>1931</v>
      </c>
      <c r="P31" s="41">
        <v>2345</v>
      </c>
      <c r="Q31" s="42">
        <v>2026</v>
      </c>
      <c r="R31" s="40">
        <v>2107</v>
      </c>
      <c r="S31" s="40">
        <v>2518</v>
      </c>
      <c r="T31" s="40">
        <v>4596.3999999999996</v>
      </c>
      <c r="U31" s="40">
        <v>3500</v>
      </c>
      <c r="V31" s="74">
        <v>5000</v>
      </c>
      <c r="W31" s="71">
        <v>5301.4</v>
      </c>
      <c r="X31" s="71">
        <v>5500</v>
      </c>
      <c r="Y31" s="71">
        <v>4058.26</v>
      </c>
      <c r="Z31" s="71">
        <f t="shared" si="0"/>
        <v>-1441.7399999999998</v>
      </c>
      <c r="AA31" s="71">
        <v>4000</v>
      </c>
      <c r="AB31" s="72">
        <v>2944.36</v>
      </c>
      <c r="AC31" s="71">
        <f t="shared" si="5"/>
        <v>-1055.6399999999999</v>
      </c>
      <c r="AD31" s="72">
        <v>3000</v>
      </c>
      <c r="AE31" s="83">
        <v>2900.11</v>
      </c>
      <c r="AF31" s="71">
        <f t="shared" si="6"/>
        <v>-99.889999999999873</v>
      </c>
      <c r="AG31" s="72">
        <v>3000</v>
      </c>
      <c r="AH31" s="73">
        <v>2928.63</v>
      </c>
      <c r="AI31" s="71">
        <f t="shared" si="7"/>
        <v>-71.369999999999891</v>
      </c>
      <c r="AJ31" s="72">
        <v>3000</v>
      </c>
    </row>
    <row r="32" spans="1:37" x14ac:dyDescent="0.25">
      <c r="A32" s="1" t="s">
        <v>106</v>
      </c>
      <c r="B32" s="35" t="s">
        <v>107</v>
      </c>
      <c r="C32" s="41">
        <f>820+1000+1500</f>
        <v>3320</v>
      </c>
      <c r="D32" s="41">
        <v>14044</v>
      </c>
      <c r="E32" s="41">
        <v>7308</v>
      </c>
      <c r="F32" s="41">
        <v>4655</v>
      </c>
      <c r="G32" s="41">
        <v>7906</v>
      </c>
      <c r="H32" s="41">
        <v>2225</v>
      </c>
      <c r="I32" s="41">
        <v>5875</v>
      </c>
      <c r="J32" s="41">
        <v>4159</v>
      </c>
      <c r="K32" s="41">
        <v>3002</v>
      </c>
      <c r="L32" s="41">
        <v>3477</v>
      </c>
      <c r="M32" s="41">
        <v>3623</v>
      </c>
      <c r="N32" s="41">
        <v>3185</v>
      </c>
      <c r="O32" s="41">
        <v>5281</v>
      </c>
      <c r="P32" s="41">
        <v>12383</v>
      </c>
      <c r="Q32" s="42">
        <v>10605</v>
      </c>
      <c r="R32" s="40">
        <v>4149</v>
      </c>
      <c r="S32" s="40">
        <v>11086</v>
      </c>
      <c r="T32" s="40">
        <v>1491</v>
      </c>
      <c r="U32" s="40">
        <v>10000</v>
      </c>
      <c r="V32" s="74">
        <v>2500</v>
      </c>
      <c r="W32" s="71">
        <f>2647+3125</f>
        <v>5772</v>
      </c>
      <c r="X32" s="71">
        <v>6000</v>
      </c>
      <c r="Y32" s="71">
        <v>1593</v>
      </c>
      <c r="Z32" s="71">
        <f t="shared" si="0"/>
        <v>-4407</v>
      </c>
      <c r="AA32" s="71">
        <v>4000</v>
      </c>
      <c r="AB32" s="72">
        <f>2129</f>
        <v>2129</v>
      </c>
      <c r="AC32" s="71">
        <f t="shared" si="5"/>
        <v>-1871</v>
      </c>
      <c r="AD32" s="72">
        <v>4000</v>
      </c>
      <c r="AE32" s="83">
        <v>1830</v>
      </c>
      <c r="AF32" s="71">
        <f t="shared" si="6"/>
        <v>-2170</v>
      </c>
      <c r="AG32" s="72">
        <v>4000</v>
      </c>
      <c r="AH32" s="73">
        <f>2179</f>
        <v>2179</v>
      </c>
      <c r="AI32" s="71">
        <f t="shared" si="7"/>
        <v>-1821</v>
      </c>
      <c r="AJ32" s="72">
        <v>2200</v>
      </c>
    </row>
    <row r="33" spans="1:36" x14ac:dyDescent="0.25">
      <c r="A33" s="1" t="s">
        <v>103</v>
      </c>
      <c r="B33" s="35">
        <v>6420.6421</v>
      </c>
      <c r="C33" s="41"/>
      <c r="D33" s="41"/>
      <c r="E33" s="41"/>
      <c r="F33" s="41">
        <v>1772</v>
      </c>
      <c r="G33" s="41">
        <v>1397</v>
      </c>
      <c r="H33" s="41">
        <v>1398</v>
      </c>
      <c r="I33" s="41">
        <v>1698</v>
      </c>
      <c r="J33" s="41">
        <v>3395</v>
      </c>
      <c r="K33" s="41"/>
      <c r="L33" s="41">
        <v>1697</v>
      </c>
      <c r="M33" s="41">
        <v>1698</v>
      </c>
      <c r="N33" s="41">
        <v>1721</v>
      </c>
      <c r="O33" s="41">
        <v>1750</v>
      </c>
      <c r="P33" s="41">
        <v>4881</v>
      </c>
      <c r="Q33" s="42">
        <v>4090</v>
      </c>
      <c r="R33" s="40">
        <v>4016</v>
      </c>
      <c r="S33" s="40">
        <v>4016</v>
      </c>
      <c r="T33" s="40">
        <f>2282+4777.5</f>
        <v>7059.5</v>
      </c>
      <c r="U33" s="40">
        <v>10800</v>
      </c>
      <c r="V33" s="74">
        <v>8000</v>
      </c>
      <c r="W33" s="71">
        <f>2704+3150</f>
        <v>5854</v>
      </c>
      <c r="X33" s="71">
        <v>7000</v>
      </c>
      <c r="Y33" s="71">
        <f>6409+3820.83</f>
        <v>10229.83</v>
      </c>
      <c r="Z33" s="71">
        <f t="shared" si="0"/>
        <v>3229.83</v>
      </c>
      <c r="AA33" s="71">
        <v>10000</v>
      </c>
      <c r="AB33" s="72">
        <f>4920+3332.34</f>
        <v>8252.34</v>
      </c>
      <c r="AC33" s="71">
        <f t="shared" si="5"/>
        <v>-1747.6599999999999</v>
      </c>
      <c r="AD33" s="72">
        <v>10000</v>
      </c>
      <c r="AE33" s="83">
        <f>5242.5+5655.55</f>
        <v>10898.05</v>
      </c>
      <c r="AF33" s="71">
        <f t="shared" si="6"/>
        <v>898.04999999999927</v>
      </c>
      <c r="AG33" s="72">
        <v>10000</v>
      </c>
      <c r="AH33" s="73">
        <f>5380+358</f>
        <v>5738</v>
      </c>
      <c r="AI33" s="71">
        <f t="shared" si="7"/>
        <v>-4262</v>
      </c>
      <c r="AJ33" s="72">
        <v>7000</v>
      </c>
    </row>
    <row r="34" spans="1:36" x14ac:dyDescent="0.25">
      <c r="A34" s="1" t="s">
        <v>112</v>
      </c>
      <c r="B34" s="35">
        <v>6300</v>
      </c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2"/>
      <c r="R34" s="40"/>
      <c r="S34" s="40"/>
      <c r="T34" s="40"/>
      <c r="U34" s="40"/>
      <c r="V34" s="74"/>
      <c r="W34" s="71">
        <v>21996</v>
      </c>
      <c r="X34" s="71">
        <v>14000</v>
      </c>
      <c r="Y34" s="71">
        <v>11004</v>
      </c>
      <c r="Z34" s="71">
        <f t="shared" si="0"/>
        <v>-2996</v>
      </c>
      <c r="AA34" s="71">
        <v>11500</v>
      </c>
      <c r="AB34" s="72">
        <v>11640</v>
      </c>
      <c r="AC34" s="71">
        <f t="shared" si="5"/>
        <v>140</v>
      </c>
      <c r="AD34" s="71">
        <v>15000</v>
      </c>
      <c r="AE34" s="83"/>
      <c r="AF34" s="71">
        <f t="shared" si="6"/>
        <v>-15000</v>
      </c>
      <c r="AG34" s="71">
        <v>15000</v>
      </c>
      <c r="AH34" s="73">
        <v>11820</v>
      </c>
      <c r="AI34" s="71">
        <f t="shared" si="7"/>
        <v>-3180</v>
      </c>
      <c r="AJ34" s="71">
        <v>10000</v>
      </c>
    </row>
    <row r="35" spans="1:36" s="13" customFormat="1" x14ac:dyDescent="0.25">
      <c r="A35" s="16" t="s">
        <v>33</v>
      </c>
      <c r="B35" s="46"/>
      <c r="C35" s="47">
        <f t="shared" ref="C35:U35" si="9">+SUM(C16:C33)</f>
        <v>115151</v>
      </c>
      <c r="D35" s="47">
        <f t="shared" si="9"/>
        <v>132599</v>
      </c>
      <c r="E35" s="47">
        <f t="shared" si="9"/>
        <v>108181</v>
      </c>
      <c r="F35" s="47">
        <f t="shared" si="9"/>
        <v>124091</v>
      </c>
      <c r="G35" s="47">
        <f t="shared" si="9"/>
        <v>111362</v>
      </c>
      <c r="H35" s="47">
        <f t="shared" si="9"/>
        <v>154744</v>
      </c>
      <c r="I35" s="47">
        <f t="shared" si="9"/>
        <v>214473</v>
      </c>
      <c r="J35" s="47">
        <f t="shared" si="9"/>
        <v>232413</v>
      </c>
      <c r="K35" s="47">
        <f t="shared" si="9"/>
        <v>481581</v>
      </c>
      <c r="L35" s="47">
        <f t="shared" si="9"/>
        <v>242162</v>
      </c>
      <c r="M35" s="47">
        <f t="shared" si="9"/>
        <v>217061</v>
      </c>
      <c r="N35" s="47">
        <f t="shared" si="9"/>
        <v>252328</v>
      </c>
      <c r="O35" s="47">
        <f t="shared" si="9"/>
        <v>222907</v>
      </c>
      <c r="P35" s="47">
        <f t="shared" si="9"/>
        <v>270510</v>
      </c>
      <c r="Q35" s="48">
        <f t="shared" si="9"/>
        <v>262489</v>
      </c>
      <c r="R35" s="49">
        <f t="shared" si="9"/>
        <v>224035</v>
      </c>
      <c r="S35" s="49">
        <f t="shared" si="9"/>
        <v>246118</v>
      </c>
      <c r="T35" s="49">
        <f t="shared" si="9"/>
        <v>332047.10000000003</v>
      </c>
      <c r="U35" s="57">
        <f t="shared" si="9"/>
        <v>169800</v>
      </c>
      <c r="V35" s="75">
        <f>SUM(V17:V33)</f>
        <v>261800</v>
      </c>
      <c r="W35" s="75">
        <f>SUM(W17:W34)</f>
        <v>221467.4</v>
      </c>
      <c r="X35" s="75">
        <f>SUM(X17:X34)</f>
        <v>382000</v>
      </c>
      <c r="Y35" s="75">
        <f>SUM(Y17:Y34)</f>
        <v>351648.59</v>
      </c>
      <c r="Z35" s="76">
        <f t="shared" si="0"/>
        <v>-30351.409999999974</v>
      </c>
      <c r="AA35" s="75">
        <f>SUM(AA17:AA34)</f>
        <v>350000</v>
      </c>
      <c r="AB35" s="79">
        <f>SUM(AB17:AB34)</f>
        <v>200799.44999999998</v>
      </c>
      <c r="AC35" s="76">
        <f t="shared" si="5"/>
        <v>-149200.55000000002</v>
      </c>
      <c r="AD35" s="75">
        <f>SUM(AD17:AD34)</f>
        <v>308600</v>
      </c>
      <c r="AE35" s="79">
        <f>SUM(AE17:AE34)</f>
        <v>210099.65999999997</v>
      </c>
      <c r="AF35" s="76">
        <f t="shared" si="6"/>
        <v>-98500.340000000026</v>
      </c>
      <c r="AG35" s="75">
        <f>SUM(AG17:AG34)</f>
        <v>258600</v>
      </c>
      <c r="AH35" s="80">
        <f>SUM(AH17:AH34)</f>
        <v>162811.38</v>
      </c>
      <c r="AI35" s="76">
        <f t="shared" si="7"/>
        <v>-95788.62</v>
      </c>
      <c r="AJ35" s="75">
        <f>SUM(AJ17:AJ34)</f>
        <v>327200</v>
      </c>
    </row>
    <row r="36" spans="1:36" x14ac:dyDescent="0.25"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2"/>
      <c r="R36" s="40"/>
      <c r="S36" s="40"/>
      <c r="T36" s="40"/>
      <c r="U36" s="40"/>
      <c r="V36" s="74"/>
      <c r="W36" s="71"/>
      <c r="X36" s="71"/>
      <c r="Y36" s="71"/>
      <c r="Z36" s="71"/>
      <c r="AA36" s="71"/>
      <c r="AB36" s="72"/>
      <c r="AC36" s="71"/>
      <c r="AD36" s="71"/>
      <c r="AE36" s="83"/>
      <c r="AF36" s="71"/>
      <c r="AG36" s="71"/>
      <c r="AH36" s="73"/>
      <c r="AI36" s="71"/>
      <c r="AJ36" s="71"/>
    </row>
    <row r="37" spans="1:36" s="13" customFormat="1" x14ac:dyDescent="0.25">
      <c r="A37" s="13" t="s">
        <v>34</v>
      </c>
      <c r="B37" s="52"/>
      <c r="C37" s="43">
        <f t="shared" ref="C37:U37" si="10">+C14-C35</f>
        <v>13659</v>
      </c>
      <c r="D37" s="43">
        <f t="shared" si="10"/>
        <v>-4359</v>
      </c>
      <c r="E37" s="43">
        <f t="shared" si="10"/>
        <v>8519</v>
      </c>
      <c r="F37" s="43">
        <f t="shared" si="10"/>
        <v>10109</v>
      </c>
      <c r="G37" s="43">
        <f t="shared" si="10"/>
        <v>3747</v>
      </c>
      <c r="H37" s="43">
        <f t="shared" si="10"/>
        <v>37386</v>
      </c>
      <c r="I37" s="43">
        <f t="shared" si="10"/>
        <v>-30117</v>
      </c>
      <c r="J37" s="43">
        <f t="shared" si="10"/>
        <v>37136</v>
      </c>
      <c r="K37" s="43">
        <f t="shared" si="10"/>
        <v>-24586</v>
      </c>
      <c r="L37" s="43">
        <f t="shared" si="10"/>
        <v>-685</v>
      </c>
      <c r="M37" s="43">
        <f t="shared" si="10"/>
        <v>23678</v>
      </c>
      <c r="N37" s="43">
        <f t="shared" si="10"/>
        <v>6221</v>
      </c>
      <c r="O37" s="43">
        <f t="shared" si="10"/>
        <v>20799</v>
      </c>
      <c r="P37" s="43">
        <f t="shared" si="10"/>
        <v>3463</v>
      </c>
      <c r="Q37" s="44">
        <f t="shared" si="10"/>
        <v>16120</v>
      </c>
      <c r="R37" s="45">
        <f t="shared" si="10"/>
        <v>42708</v>
      </c>
      <c r="S37" s="45">
        <f t="shared" si="10"/>
        <v>-8818</v>
      </c>
      <c r="T37" s="45">
        <f t="shared" si="10"/>
        <v>-59758.200000000012</v>
      </c>
      <c r="U37" s="45">
        <f t="shared" si="10"/>
        <v>101700</v>
      </c>
      <c r="V37" s="74">
        <f>V14-V35</f>
        <v>-38800</v>
      </c>
      <c r="W37" s="74">
        <f>W14-W35</f>
        <v>81707.889999999985</v>
      </c>
      <c r="X37" s="74">
        <f>X14-X35</f>
        <v>-122000</v>
      </c>
      <c r="Y37" s="74">
        <f>Y14-Y35</f>
        <v>-19828.170000000042</v>
      </c>
      <c r="Z37" s="71">
        <f>Y37-X37</f>
        <v>102171.82999999996</v>
      </c>
      <c r="AA37" s="71">
        <f>AA14-AA35</f>
        <v>-60000</v>
      </c>
      <c r="AB37" s="81">
        <f>AB14-AB35</f>
        <v>76129.71000000005</v>
      </c>
      <c r="AC37" s="71">
        <f>AB37-AA37</f>
        <v>136129.71000000005</v>
      </c>
      <c r="AD37" s="71">
        <f>AD14-AD35</f>
        <v>-73600</v>
      </c>
      <c r="AE37" s="84">
        <f>AE14-AE35</f>
        <v>11844.400000000023</v>
      </c>
      <c r="AF37" s="71">
        <f>AE37-AD37</f>
        <v>85444.400000000023</v>
      </c>
      <c r="AG37" s="71">
        <f>AG14-AG35</f>
        <v>-33600</v>
      </c>
      <c r="AH37" s="82">
        <f>AH14-AH35</f>
        <v>57299.790000000008</v>
      </c>
      <c r="AI37" s="71">
        <f>AH37-AG37</f>
        <v>90899.790000000008</v>
      </c>
      <c r="AJ37" s="71">
        <f>AJ14-AJ35</f>
        <v>-12200</v>
      </c>
    </row>
    <row r="38" spans="1:36" x14ac:dyDescent="0.25"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2"/>
      <c r="R38" s="40"/>
      <c r="S38" s="40"/>
      <c r="T38" s="40"/>
      <c r="U38" s="40"/>
      <c r="V38" s="40"/>
      <c r="W38" s="71"/>
      <c r="X38" s="71"/>
      <c r="Y38" s="71"/>
      <c r="Z38" s="71"/>
      <c r="AA38" s="71"/>
      <c r="AB38" s="72"/>
      <c r="AC38" s="71"/>
      <c r="AD38" s="71"/>
      <c r="AE38" s="83"/>
      <c r="AF38" s="71"/>
      <c r="AG38" s="71"/>
      <c r="AH38" s="73"/>
      <c r="AI38" s="71"/>
      <c r="AJ38" s="71"/>
    </row>
    <row r="39" spans="1:36" x14ac:dyDescent="0.25">
      <c r="A39" s="1" t="s">
        <v>35</v>
      </c>
      <c r="B39" s="58" t="s">
        <v>116</v>
      </c>
      <c r="C39" s="41">
        <v>4389</v>
      </c>
      <c r="D39" s="41">
        <v>4690</v>
      </c>
      <c r="E39" s="41">
        <v>3644</v>
      </c>
      <c r="F39" s="41">
        <v>852</v>
      </c>
      <c r="G39" s="41">
        <v>860</v>
      </c>
      <c r="H39" s="41">
        <v>1730</v>
      </c>
      <c r="I39" s="41">
        <v>4328</v>
      </c>
      <c r="J39" s="41">
        <v>8714</v>
      </c>
      <c r="K39" s="41">
        <v>4757</v>
      </c>
      <c r="L39" s="41">
        <v>4478</v>
      </c>
      <c r="M39" s="41">
        <v>4595</v>
      </c>
      <c r="N39" s="41">
        <v>4148</v>
      </c>
      <c r="O39" s="41">
        <v>5034</v>
      </c>
      <c r="P39" s="41">
        <v>4152</v>
      </c>
      <c r="Q39" s="42">
        <v>2074</v>
      </c>
      <c r="R39" s="40">
        <v>1792</v>
      </c>
      <c r="S39" s="40">
        <v>3118</v>
      </c>
      <c r="T39" s="40">
        <v>2669</v>
      </c>
      <c r="U39" s="40">
        <v>2000</v>
      </c>
      <c r="V39" s="40">
        <v>2500</v>
      </c>
      <c r="W39" s="40">
        <v>1853</v>
      </c>
      <c r="X39" s="40">
        <v>2000</v>
      </c>
      <c r="Y39" s="40">
        <v>920</v>
      </c>
      <c r="Z39" s="71">
        <f>Y39-X39</f>
        <v>-1080</v>
      </c>
      <c r="AA39" s="40">
        <v>500</v>
      </c>
      <c r="AB39" s="40">
        <v>3342</v>
      </c>
      <c r="AC39" s="71">
        <f>AB39-AA39</f>
        <v>2842</v>
      </c>
      <c r="AD39" s="40">
        <v>7000</v>
      </c>
      <c r="AE39" s="45">
        <v>8611</v>
      </c>
      <c r="AF39" s="71">
        <f>AE39-AD39</f>
        <v>1611</v>
      </c>
      <c r="AG39" s="40">
        <v>7000</v>
      </c>
      <c r="AH39" s="70">
        <v>16324</v>
      </c>
      <c r="AI39" s="71">
        <f>AH39-AG39</f>
        <v>9324</v>
      </c>
      <c r="AJ39" s="40">
        <v>15000</v>
      </c>
    </row>
    <row r="40" spans="1:36" x14ac:dyDescent="0.25"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2"/>
      <c r="R40" s="40"/>
      <c r="S40" s="40"/>
      <c r="T40" s="40"/>
      <c r="U40" s="40"/>
      <c r="V40" s="40"/>
      <c r="W40" s="40"/>
      <c r="X40" s="40"/>
      <c r="Y40" s="40"/>
      <c r="Z40" s="71"/>
      <c r="AA40" s="40"/>
      <c r="AB40" s="40"/>
      <c r="AC40" s="71"/>
      <c r="AD40" s="40"/>
      <c r="AE40" s="45"/>
      <c r="AF40" s="71"/>
      <c r="AG40" s="40"/>
      <c r="AH40" s="70"/>
      <c r="AI40" s="71"/>
      <c r="AJ40" s="40"/>
    </row>
    <row r="41" spans="1:36" s="13" customFormat="1" ht="12" customHeight="1" x14ac:dyDescent="0.25">
      <c r="A41" s="16" t="s">
        <v>36</v>
      </c>
      <c r="B41" s="46"/>
      <c r="C41" s="47">
        <f t="shared" ref="C41:V41" si="11">+C37+C39</f>
        <v>18048</v>
      </c>
      <c r="D41" s="47">
        <f t="shared" si="11"/>
        <v>331</v>
      </c>
      <c r="E41" s="47">
        <f t="shared" si="11"/>
        <v>12163</v>
      </c>
      <c r="F41" s="47">
        <f t="shared" si="11"/>
        <v>10961</v>
      </c>
      <c r="G41" s="47">
        <f t="shared" si="11"/>
        <v>4607</v>
      </c>
      <c r="H41" s="47">
        <f t="shared" si="11"/>
        <v>39116</v>
      </c>
      <c r="I41" s="47">
        <f t="shared" si="11"/>
        <v>-25789</v>
      </c>
      <c r="J41" s="47">
        <f t="shared" si="11"/>
        <v>45850</v>
      </c>
      <c r="K41" s="47">
        <f t="shared" si="11"/>
        <v>-19829</v>
      </c>
      <c r="L41" s="47">
        <f t="shared" si="11"/>
        <v>3793</v>
      </c>
      <c r="M41" s="47">
        <f t="shared" si="11"/>
        <v>28273</v>
      </c>
      <c r="N41" s="47">
        <f t="shared" si="11"/>
        <v>10369</v>
      </c>
      <c r="O41" s="47">
        <f t="shared" si="11"/>
        <v>25833</v>
      </c>
      <c r="P41" s="47">
        <f t="shared" si="11"/>
        <v>7615</v>
      </c>
      <c r="Q41" s="48">
        <f t="shared" si="11"/>
        <v>18194</v>
      </c>
      <c r="R41" s="49">
        <f t="shared" si="11"/>
        <v>44500</v>
      </c>
      <c r="S41" s="49">
        <f t="shared" si="11"/>
        <v>-5700</v>
      </c>
      <c r="T41" s="49">
        <f t="shared" si="11"/>
        <v>-57089.200000000012</v>
      </c>
      <c r="U41" s="49">
        <f t="shared" si="11"/>
        <v>103700</v>
      </c>
      <c r="V41" s="49">
        <f t="shared" si="11"/>
        <v>-36300</v>
      </c>
      <c r="W41" s="49">
        <f>+W37+W39</f>
        <v>83560.889999999985</v>
      </c>
      <c r="X41" s="49">
        <f>+X37+X39</f>
        <v>-120000</v>
      </c>
      <c r="Y41" s="49">
        <f>+Y37+Y39</f>
        <v>-18908.170000000042</v>
      </c>
      <c r="Z41" s="76">
        <f>Y41-X41</f>
        <v>101091.82999999996</v>
      </c>
      <c r="AA41" s="49">
        <f>+AA37+AA39</f>
        <v>-59500</v>
      </c>
      <c r="AB41" s="49">
        <f>+AB37+AB39</f>
        <v>79471.71000000005</v>
      </c>
      <c r="AC41" s="76">
        <f>AB41-AA41</f>
        <v>138971.71000000005</v>
      </c>
      <c r="AD41" s="49">
        <f>+AD37+AD39</f>
        <v>-66600</v>
      </c>
      <c r="AE41" s="49">
        <f>+AE37+AE39</f>
        <v>20455.400000000023</v>
      </c>
      <c r="AF41" s="76">
        <f>AE41-AD41</f>
        <v>87055.400000000023</v>
      </c>
      <c r="AG41" s="49">
        <f>+AG37+AG39</f>
        <v>-26600</v>
      </c>
      <c r="AH41" s="68">
        <f>+AH37+AH39</f>
        <v>73623.790000000008</v>
      </c>
      <c r="AI41" s="76">
        <f>AH41-AG41</f>
        <v>100223.79000000001</v>
      </c>
      <c r="AJ41" s="49">
        <f>+AJ37+AJ39</f>
        <v>2800</v>
      </c>
    </row>
    <row r="42" spans="1:36" x14ac:dyDescent="0.25"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2"/>
      <c r="R42" s="40"/>
      <c r="S42" s="40"/>
      <c r="T42" s="40"/>
      <c r="U42" s="40"/>
      <c r="V42" s="40"/>
      <c r="W42" s="40"/>
      <c r="X42" s="40"/>
      <c r="Y42" s="40"/>
      <c r="Z42" s="71"/>
      <c r="AA42" s="40"/>
      <c r="AB42" s="40"/>
      <c r="AC42" s="71"/>
      <c r="AD42" s="40"/>
      <c r="AE42" s="45"/>
      <c r="AF42" s="71"/>
      <c r="AG42" s="40"/>
      <c r="AH42" s="70"/>
      <c r="AI42" s="71"/>
      <c r="AJ42" s="40"/>
    </row>
    <row r="43" spans="1:36" x14ac:dyDescent="0.25">
      <c r="A43" s="13" t="s">
        <v>37</v>
      </c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40"/>
      <c r="S43" s="40"/>
      <c r="T43" s="40"/>
      <c r="U43" s="40"/>
      <c r="V43" s="40"/>
      <c r="W43" s="40"/>
      <c r="X43" s="40"/>
      <c r="Y43" s="40"/>
      <c r="Z43" s="71"/>
      <c r="AA43" s="40"/>
      <c r="AB43" s="40"/>
      <c r="AC43" s="71"/>
      <c r="AD43" s="40"/>
      <c r="AE43" s="45"/>
      <c r="AF43" s="71"/>
      <c r="AG43" s="40"/>
      <c r="AH43" s="70"/>
      <c r="AI43" s="71"/>
      <c r="AJ43" s="40"/>
    </row>
    <row r="44" spans="1:36" x14ac:dyDescent="0.25">
      <c r="A44" s="1" t="s">
        <v>96</v>
      </c>
      <c r="B44" s="35">
        <v>1350</v>
      </c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>
        <v>2932</v>
      </c>
      <c r="Q44" s="42">
        <v>2932</v>
      </c>
      <c r="R44" s="40">
        <v>2932</v>
      </c>
      <c r="S44" s="40">
        <v>2932</v>
      </c>
      <c r="T44" s="40">
        <v>2932</v>
      </c>
      <c r="U44" s="40">
        <v>2932</v>
      </c>
      <c r="V44" s="40">
        <v>2932</v>
      </c>
      <c r="W44" s="40">
        <v>2932</v>
      </c>
      <c r="X44" s="40"/>
      <c r="Y44" s="40">
        <v>2932</v>
      </c>
      <c r="Z44" s="71"/>
      <c r="AA44" s="40"/>
      <c r="AB44" s="40">
        <v>2932</v>
      </c>
      <c r="AC44" s="71"/>
      <c r="AD44" s="40"/>
      <c r="AE44" s="45">
        <v>2932</v>
      </c>
      <c r="AF44" s="71"/>
      <c r="AG44" s="40"/>
      <c r="AH44" s="70">
        <v>2932</v>
      </c>
      <c r="AI44" s="71"/>
      <c r="AJ44" s="40"/>
    </row>
    <row r="45" spans="1:36" x14ac:dyDescent="0.25">
      <c r="A45" s="1" t="s">
        <v>108</v>
      </c>
      <c r="B45" s="35">
        <v>1500</v>
      </c>
      <c r="C45" s="41">
        <v>0</v>
      </c>
      <c r="D45" s="41">
        <v>2600</v>
      </c>
      <c r="E45" s="41">
        <v>400</v>
      </c>
      <c r="F45" s="41">
        <v>0</v>
      </c>
      <c r="G45" s="41">
        <v>0</v>
      </c>
      <c r="H45" s="41">
        <v>0</v>
      </c>
      <c r="I45" s="41">
        <v>0</v>
      </c>
      <c r="J45" s="41">
        <v>4600</v>
      </c>
      <c r="K45" s="41">
        <v>0</v>
      </c>
      <c r="L45" s="41">
        <v>14700</v>
      </c>
      <c r="M45" s="41">
        <v>4800</v>
      </c>
      <c r="N45" s="41">
        <v>4500</v>
      </c>
      <c r="O45" s="41">
        <v>6600</v>
      </c>
      <c r="P45" s="41">
        <v>600</v>
      </c>
      <c r="Q45" s="42">
        <v>7200</v>
      </c>
      <c r="R45" s="40">
        <v>0</v>
      </c>
      <c r="S45" s="40"/>
      <c r="T45" s="40">
        <v>-300</v>
      </c>
      <c r="U45" s="40">
        <v>0</v>
      </c>
      <c r="V45" s="40"/>
      <c r="W45" s="40">
        <v>-1750</v>
      </c>
      <c r="X45" s="40"/>
      <c r="Y45" s="40">
        <v>-2000</v>
      </c>
      <c r="Z45" s="71"/>
      <c r="AA45" s="40"/>
      <c r="AB45" s="40"/>
      <c r="AC45" s="71"/>
      <c r="AD45" s="40"/>
      <c r="AE45" s="45">
        <v>-350</v>
      </c>
      <c r="AF45" s="71"/>
      <c r="AG45" s="40"/>
      <c r="AH45" s="70">
        <v>-700</v>
      </c>
      <c r="AI45" s="71"/>
      <c r="AJ45" s="40"/>
    </row>
    <row r="46" spans="1:36" x14ac:dyDescent="0.25">
      <c r="A46" s="1" t="s">
        <v>109</v>
      </c>
      <c r="B46" s="35">
        <v>1749</v>
      </c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2"/>
      <c r="R46" s="40"/>
      <c r="S46" s="40"/>
      <c r="T46" s="40">
        <v>3595.25</v>
      </c>
      <c r="U46" s="40"/>
      <c r="V46" s="40"/>
      <c r="W46" s="40">
        <v>3635.25</v>
      </c>
      <c r="X46" s="40"/>
      <c r="Y46" s="40"/>
      <c r="Z46" s="71"/>
      <c r="AA46" s="40"/>
      <c r="AB46" s="40"/>
      <c r="AC46" s="71"/>
      <c r="AD46" s="40"/>
      <c r="AE46" s="45"/>
      <c r="AF46" s="71"/>
      <c r="AG46" s="40"/>
      <c r="AH46" s="70"/>
      <c r="AI46" s="71"/>
      <c r="AJ46" s="40"/>
    </row>
    <row r="47" spans="1:36" x14ac:dyDescent="0.25">
      <c r="A47" s="1" t="s">
        <v>111</v>
      </c>
      <c r="B47" s="35">
        <v>1399</v>
      </c>
      <c r="C47" s="41"/>
      <c r="D47" s="41">
        <v>10606</v>
      </c>
      <c r="E47" s="41">
        <v>0</v>
      </c>
      <c r="F47" s="41">
        <v>0</v>
      </c>
      <c r="G47" s="41">
        <v>0</v>
      </c>
      <c r="H47" s="41">
        <v>18750</v>
      </c>
      <c r="I47" s="41">
        <v>0</v>
      </c>
      <c r="J47" s="41"/>
      <c r="K47" s="41">
        <v>5521</v>
      </c>
      <c r="L47" s="41">
        <v>2000</v>
      </c>
      <c r="M47" s="41">
        <v>1400</v>
      </c>
      <c r="N47" s="41">
        <v>14108</v>
      </c>
      <c r="O47" s="41">
        <v>1244</v>
      </c>
      <c r="P47" s="41">
        <v>1244</v>
      </c>
      <c r="Q47" s="42">
        <v>0</v>
      </c>
      <c r="R47" s="40">
        <v>0</v>
      </c>
      <c r="S47" s="40">
        <v>75700</v>
      </c>
      <c r="T47" s="40">
        <v>75700</v>
      </c>
      <c r="U47" s="40">
        <v>75700</v>
      </c>
      <c r="V47" s="40">
        <v>75700</v>
      </c>
      <c r="W47" s="40">
        <v>75700</v>
      </c>
      <c r="X47" s="40"/>
      <c r="Y47" s="40">
        <v>75700</v>
      </c>
      <c r="Z47" s="71"/>
      <c r="AA47" s="40">
        <v>0</v>
      </c>
      <c r="AB47" s="40"/>
      <c r="AC47" s="71"/>
      <c r="AD47" s="40"/>
      <c r="AE47" s="45"/>
      <c r="AF47" s="71"/>
      <c r="AG47" s="40"/>
      <c r="AH47" s="70"/>
      <c r="AI47" s="71"/>
      <c r="AJ47" s="40"/>
    </row>
    <row r="48" spans="1:36" x14ac:dyDescent="0.25">
      <c r="A48" s="1" t="s">
        <v>40</v>
      </c>
      <c r="B48" s="35">
        <v>1920.1925000000001</v>
      </c>
      <c r="C48" s="41">
        <f>50639+51541</f>
        <v>102180</v>
      </c>
      <c r="D48" s="41">
        <f>10599+68906</f>
        <v>79505</v>
      </c>
      <c r="E48" s="41">
        <v>96973</v>
      </c>
      <c r="F48" s="41">
        <v>99534</v>
      </c>
      <c r="G48" s="41">
        <v>94941</v>
      </c>
      <c r="H48" s="41">
        <v>235832</v>
      </c>
      <c r="I48" s="41">
        <v>238268</v>
      </c>
      <c r="J48" s="41">
        <v>211518</v>
      </c>
      <c r="K48" s="41">
        <v>347418</v>
      </c>
      <c r="L48" s="41">
        <v>299270</v>
      </c>
      <c r="M48" s="41">
        <v>338355</v>
      </c>
      <c r="N48" s="41">
        <v>364491</v>
      </c>
      <c r="O48" s="41">
        <v>371713</v>
      </c>
      <c r="P48" s="41">
        <v>386296</v>
      </c>
      <c r="Q48" s="42">
        <v>395234</v>
      </c>
      <c r="R48" s="40">
        <v>451934</v>
      </c>
      <c r="S48" s="40">
        <v>370534</v>
      </c>
      <c r="T48" s="40">
        <f>81523.86+255262.17</f>
        <v>336786.03</v>
      </c>
      <c r="U48" s="40">
        <f>U60-U44-U47</f>
        <v>379234</v>
      </c>
      <c r="V48" s="40">
        <f>V60-V44-V47</f>
        <v>167844.83000000002</v>
      </c>
      <c r="W48" s="40">
        <f>40213.71+247080.17</f>
        <v>287293.88</v>
      </c>
      <c r="X48" s="40"/>
      <c r="Y48" s="40">
        <f>161459.8+247481.17</f>
        <v>408940.97</v>
      </c>
      <c r="Z48" s="71"/>
      <c r="AA48" s="40"/>
      <c r="AB48" s="40">
        <f>29089.91+330819.17</f>
        <v>359909.07999999996</v>
      </c>
      <c r="AC48" s="71"/>
      <c r="AD48" s="40"/>
      <c r="AE48" s="45">
        <f>35812.77+341295.17</f>
        <v>377107.94</v>
      </c>
      <c r="AF48" s="71"/>
      <c r="AG48" s="40"/>
      <c r="AH48" s="70">
        <f>35808.1+407598.17</f>
        <v>443406.26999999996</v>
      </c>
      <c r="AI48" s="71"/>
      <c r="AJ48" s="40"/>
    </row>
    <row r="49" spans="1:36" x14ac:dyDescent="0.25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2"/>
      <c r="R49" s="40"/>
      <c r="S49" s="40"/>
      <c r="T49" s="40"/>
      <c r="U49" s="40"/>
      <c r="V49" s="40"/>
      <c r="W49" s="40"/>
      <c r="X49" s="40"/>
      <c r="Y49" s="40"/>
      <c r="Z49" s="71"/>
      <c r="AA49" s="40"/>
      <c r="AB49" s="40"/>
      <c r="AC49" s="71"/>
      <c r="AD49" s="40"/>
      <c r="AE49" s="45"/>
      <c r="AF49" s="71"/>
      <c r="AG49" s="40"/>
      <c r="AH49" s="70"/>
      <c r="AI49" s="71"/>
      <c r="AJ49" s="40"/>
    </row>
    <row r="50" spans="1:36" s="13" customFormat="1" x14ac:dyDescent="0.25">
      <c r="A50" s="16" t="s">
        <v>41</v>
      </c>
      <c r="B50" s="46"/>
      <c r="C50" s="47">
        <f t="shared" ref="C50:O50" si="12">+SUM(C45:C49)</f>
        <v>102180</v>
      </c>
      <c r="D50" s="47">
        <f t="shared" si="12"/>
        <v>92711</v>
      </c>
      <c r="E50" s="47">
        <f t="shared" si="12"/>
        <v>97373</v>
      </c>
      <c r="F50" s="47">
        <f t="shared" si="12"/>
        <v>99534</v>
      </c>
      <c r="G50" s="47">
        <f t="shared" si="12"/>
        <v>94941</v>
      </c>
      <c r="H50" s="47">
        <f t="shared" si="12"/>
        <v>254582</v>
      </c>
      <c r="I50" s="47">
        <f t="shared" si="12"/>
        <v>238268</v>
      </c>
      <c r="J50" s="47">
        <f t="shared" si="12"/>
        <v>216118</v>
      </c>
      <c r="K50" s="47">
        <f t="shared" si="12"/>
        <v>352939</v>
      </c>
      <c r="L50" s="53">
        <f t="shared" si="12"/>
        <v>315970</v>
      </c>
      <c r="M50" s="47">
        <f t="shared" si="12"/>
        <v>344555</v>
      </c>
      <c r="N50" s="47">
        <f t="shared" si="12"/>
        <v>383099</v>
      </c>
      <c r="O50" s="47">
        <f t="shared" si="12"/>
        <v>379557</v>
      </c>
      <c r="P50" s="47">
        <f t="shared" ref="P50:V50" si="13">+SUM(P44:P49)</f>
        <v>391072</v>
      </c>
      <c r="Q50" s="48">
        <f t="shared" si="13"/>
        <v>405366</v>
      </c>
      <c r="R50" s="49">
        <f t="shared" si="13"/>
        <v>454866</v>
      </c>
      <c r="S50" s="49">
        <f t="shared" si="13"/>
        <v>449166</v>
      </c>
      <c r="T50" s="49">
        <f t="shared" si="13"/>
        <v>418713.28</v>
      </c>
      <c r="U50" s="49">
        <f t="shared" si="13"/>
        <v>457866</v>
      </c>
      <c r="V50" s="49">
        <f t="shared" si="13"/>
        <v>246476.83000000002</v>
      </c>
      <c r="W50" s="49">
        <f>+SUM(W44:W49)</f>
        <v>367811.13</v>
      </c>
      <c r="X50" s="49"/>
      <c r="Y50" s="49">
        <f>+SUM(Y44:Y49)</f>
        <v>485572.97</v>
      </c>
      <c r="Z50" s="49"/>
      <c r="AA50" s="49"/>
      <c r="AB50" s="49">
        <f>+SUM(AB44:AB49)</f>
        <v>362841.07999999996</v>
      </c>
      <c r="AC50" s="49"/>
      <c r="AD50" s="49"/>
      <c r="AE50" s="49">
        <f>+SUM(AE44:AE49)</f>
        <v>379689.94</v>
      </c>
      <c r="AF50" s="49"/>
      <c r="AG50" s="49"/>
      <c r="AH50" s="68">
        <f>+SUM(AH44:AH49)</f>
        <v>445638.26999999996</v>
      </c>
      <c r="AI50" s="49"/>
      <c r="AJ50" s="49"/>
    </row>
    <row r="51" spans="1:36" x14ac:dyDescent="0.25">
      <c r="C51" s="41"/>
      <c r="D51" s="41"/>
      <c r="E51" s="41"/>
      <c r="F51" s="41"/>
      <c r="G51" s="41"/>
      <c r="H51" s="41"/>
      <c r="I51" s="41"/>
      <c r="J51" s="41"/>
      <c r="K51" s="42"/>
      <c r="L51" s="53" t="s">
        <v>1</v>
      </c>
      <c r="M51" s="54"/>
      <c r="N51" s="54"/>
      <c r="O51" s="54"/>
      <c r="P51" s="54"/>
      <c r="Q51" s="40"/>
      <c r="R51" s="40"/>
      <c r="S51" s="40"/>
      <c r="T51" s="40"/>
      <c r="U51" s="40"/>
      <c r="V51" s="40"/>
      <c r="W51" s="40"/>
      <c r="X51" s="40"/>
      <c r="Y51" s="40"/>
      <c r="Z51" s="71"/>
      <c r="AA51" s="40"/>
      <c r="AB51" s="40"/>
      <c r="AC51" s="71"/>
      <c r="AD51" s="40"/>
      <c r="AE51" s="45"/>
      <c r="AF51" s="71"/>
      <c r="AG51" s="40"/>
      <c r="AH51" s="70"/>
      <c r="AI51" s="71"/>
      <c r="AJ51" s="40"/>
    </row>
    <row r="52" spans="1:36" x14ac:dyDescent="0.25">
      <c r="A52" s="1" t="s">
        <v>110</v>
      </c>
      <c r="B52" s="35" t="s">
        <v>117</v>
      </c>
      <c r="C52" s="41">
        <f>6000+2300</f>
        <v>8300</v>
      </c>
      <c r="D52" s="41">
        <f>4500+1500</f>
        <v>6000</v>
      </c>
      <c r="E52" s="41">
        <v>6000</v>
      </c>
      <c r="F52" s="41">
        <v>4700</v>
      </c>
      <c r="G52" s="41">
        <v>3000</v>
      </c>
      <c r="H52" s="41">
        <v>3525</v>
      </c>
      <c r="I52" s="41">
        <v>8000</v>
      </c>
      <c r="J52" s="41"/>
      <c r="K52" s="41">
        <f>36650+175000+10000</f>
        <v>221650</v>
      </c>
      <c r="L52" s="41">
        <v>180888</v>
      </c>
      <c r="M52" s="41">
        <v>1200</v>
      </c>
      <c r="N52" s="41">
        <v>29375</v>
      </c>
      <c r="O52" s="41"/>
      <c r="P52" s="41">
        <v>3900</v>
      </c>
      <c r="Q52" s="42">
        <v>0</v>
      </c>
      <c r="R52" s="40">
        <v>0</v>
      </c>
      <c r="S52" s="40"/>
      <c r="T52" s="40">
        <v>3291.25</v>
      </c>
      <c r="U52" s="40">
        <v>0</v>
      </c>
      <c r="V52" s="40"/>
      <c r="W52" s="40">
        <v>1473.25</v>
      </c>
      <c r="X52" s="40"/>
      <c r="Y52" s="40">
        <f>35756.5+240.33+2146.77+100000</f>
        <v>138143.6</v>
      </c>
      <c r="Z52" s="71"/>
      <c r="AA52" s="40"/>
      <c r="AB52" s="40">
        <v>11640</v>
      </c>
      <c r="AC52" s="71"/>
      <c r="AD52" s="40"/>
      <c r="AE52" s="45">
        <f>5522.5+2510.96</f>
        <v>8033.46</v>
      </c>
      <c r="AF52" s="71"/>
      <c r="AG52" s="40"/>
      <c r="AH52" s="70">
        <v>358</v>
      </c>
      <c r="AI52" s="71"/>
      <c r="AJ52" s="40"/>
    </row>
    <row r="53" spans="1:36" x14ac:dyDescent="0.25">
      <c r="A53" s="1" t="s">
        <v>43</v>
      </c>
      <c r="B53" s="35">
        <v>2990</v>
      </c>
      <c r="C53" s="41"/>
      <c r="D53" s="41"/>
      <c r="E53" s="41"/>
      <c r="F53" s="41"/>
      <c r="G53" s="41"/>
      <c r="H53" s="41">
        <v>125000</v>
      </c>
      <c r="I53" s="41">
        <v>125000</v>
      </c>
      <c r="J53" s="41">
        <v>65000</v>
      </c>
      <c r="K53" s="41"/>
      <c r="L53" s="41"/>
      <c r="M53" s="41">
        <v>180000</v>
      </c>
      <c r="N53" s="41">
        <v>180000</v>
      </c>
      <c r="O53" s="41">
        <v>180000</v>
      </c>
      <c r="P53" s="41">
        <v>180000</v>
      </c>
      <c r="Q53" s="42">
        <v>180000</v>
      </c>
      <c r="R53" s="40">
        <v>185000</v>
      </c>
      <c r="S53" s="40">
        <v>185000</v>
      </c>
      <c r="T53" s="40">
        <v>132645</v>
      </c>
      <c r="U53" s="40">
        <v>15000</v>
      </c>
      <c r="V53" s="40"/>
      <c r="W53" s="40"/>
      <c r="X53" s="40"/>
      <c r="Y53" s="40"/>
      <c r="Z53" s="71"/>
      <c r="AA53" s="40"/>
      <c r="AB53" s="40"/>
      <c r="AC53" s="71"/>
      <c r="AD53" s="40"/>
      <c r="AE53" s="45"/>
      <c r="AF53" s="71"/>
      <c r="AG53" s="40"/>
      <c r="AH53" s="70"/>
      <c r="AI53" s="71"/>
      <c r="AJ53" s="40"/>
    </row>
    <row r="54" spans="1:36" x14ac:dyDescent="0.25">
      <c r="A54" s="1" t="s">
        <v>105</v>
      </c>
      <c r="B54" s="35">
        <v>2990</v>
      </c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2"/>
      <c r="R54" s="40"/>
      <c r="S54" s="40"/>
      <c r="T54" s="40">
        <v>75700</v>
      </c>
      <c r="U54" s="40">
        <v>75000</v>
      </c>
      <c r="V54" s="40">
        <v>75700</v>
      </c>
      <c r="W54" s="40">
        <v>75700</v>
      </c>
      <c r="X54" s="40"/>
      <c r="Y54" s="40">
        <v>75700</v>
      </c>
      <c r="Z54" s="71"/>
      <c r="AA54" s="40">
        <v>0</v>
      </c>
      <c r="AB54" s="40"/>
      <c r="AC54" s="71"/>
      <c r="AD54" s="40"/>
      <c r="AE54" s="45"/>
      <c r="AF54" s="71"/>
      <c r="AG54" s="40"/>
      <c r="AH54" s="70"/>
      <c r="AI54" s="71"/>
      <c r="AJ54" s="40"/>
    </row>
    <row r="55" spans="1:36" x14ac:dyDescent="0.25"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2"/>
      <c r="R55" s="40"/>
      <c r="S55" s="40"/>
      <c r="T55" s="40"/>
      <c r="U55" s="40"/>
      <c r="V55" s="40"/>
      <c r="W55" s="40"/>
      <c r="X55" s="40"/>
      <c r="Y55" s="40"/>
      <c r="Z55" s="71"/>
      <c r="AA55" s="40"/>
      <c r="AB55" s="40"/>
      <c r="AC55" s="71"/>
      <c r="AD55" s="40"/>
      <c r="AE55" s="45"/>
      <c r="AF55" s="71"/>
      <c r="AG55" s="40"/>
      <c r="AH55" s="70"/>
      <c r="AI55" s="71"/>
      <c r="AJ55" s="40"/>
    </row>
    <row r="56" spans="1:36" x14ac:dyDescent="0.25">
      <c r="A56" s="13" t="s">
        <v>44</v>
      </c>
      <c r="B56" s="35">
        <v>2050</v>
      </c>
      <c r="C56" s="41">
        <v>81332</v>
      </c>
      <c r="D56" s="41">
        <v>93880</v>
      </c>
      <c r="E56" s="41">
        <f>+D58</f>
        <v>94211</v>
      </c>
      <c r="F56" s="41">
        <f>+E58-1</f>
        <v>106373</v>
      </c>
      <c r="G56" s="41">
        <f>+F58</f>
        <v>117334</v>
      </c>
      <c r="H56" s="41">
        <v>91941</v>
      </c>
      <c r="I56" s="41">
        <f t="shared" ref="I56:S56" si="14">+H58</f>
        <v>131057</v>
      </c>
      <c r="J56" s="41">
        <f t="shared" si="14"/>
        <v>105268</v>
      </c>
      <c r="K56" s="41">
        <f t="shared" si="14"/>
        <v>151118</v>
      </c>
      <c r="L56" s="41">
        <f t="shared" si="14"/>
        <v>131289</v>
      </c>
      <c r="M56" s="41">
        <f t="shared" si="14"/>
        <v>135082</v>
      </c>
      <c r="N56" s="41">
        <f t="shared" si="14"/>
        <v>163355</v>
      </c>
      <c r="O56" s="41">
        <f t="shared" si="14"/>
        <v>173724</v>
      </c>
      <c r="P56" s="41">
        <f t="shared" si="14"/>
        <v>199557</v>
      </c>
      <c r="Q56" s="42">
        <f t="shared" si="14"/>
        <v>207172</v>
      </c>
      <c r="R56" s="40">
        <f t="shared" si="14"/>
        <v>225366</v>
      </c>
      <c r="S56" s="40">
        <f t="shared" si="14"/>
        <v>269866</v>
      </c>
      <c r="T56" s="40">
        <f>207077.03+57089</f>
        <v>264166.03000000003</v>
      </c>
      <c r="U56" s="40">
        <f>S58</f>
        <v>264166</v>
      </c>
      <c r="V56" s="40">
        <f>T58</f>
        <v>207076.83000000002</v>
      </c>
      <c r="W56" s="40">
        <f>T58</f>
        <v>207076.83000000002</v>
      </c>
      <c r="X56" s="40"/>
      <c r="Y56" s="40">
        <f>W58</f>
        <v>290637.71999999997</v>
      </c>
      <c r="Z56" s="71"/>
      <c r="AA56" s="40"/>
      <c r="AB56" s="40">
        <f>Y58</f>
        <v>271729.54999999993</v>
      </c>
      <c r="AC56" s="71"/>
      <c r="AD56" s="40"/>
      <c r="AE56" s="45">
        <f>AB58</f>
        <v>351201.26</v>
      </c>
      <c r="AF56" s="71"/>
      <c r="AG56" s="40"/>
      <c r="AH56" s="70">
        <f>AE58</f>
        <v>371656.66000000003</v>
      </c>
      <c r="AI56" s="71"/>
      <c r="AJ56" s="40"/>
    </row>
    <row r="57" spans="1:36" x14ac:dyDescent="0.25">
      <c r="A57" s="1" t="s">
        <v>45</v>
      </c>
      <c r="C57" s="41">
        <f t="shared" ref="C57:S57" si="15">+C41</f>
        <v>18048</v>
      </c>
      <c r="D57" s="41">
        <f t="shared" si="15"/>
        <v>331</v>
      </c>
      <c r="E57" s="41">
        <f t="shared" si="15"/>
        <v>12163</v>
      </c>
      <c r="F57" s="41">
        <f t="shared" si="15"/>
        <v>10961</v>
      </c>
      <c r="G57" s="41">
        <f t="shared" si="15"/>
        <v>4607</v>
      </c>
      <c r="H57" s="41">
        <f t="shared" si="15"/>
        <v>39116</v>
      </c>
      <c r="I57" s="41">
        <f t="shared" si="15"/>
        <v>-25789</v>
      </c>
      <c r="J57" s="41">
        <f t="shared" si="15"/>
        <v>45850</v>
      </c>
      <c r="K57" s="41">
        <f t="shared" si="15"/>
        <v>-19829</v>
      </c>
      <c r="L57" s="41">
        <f t="shared" si="15"/>
        <v>3793</v>
      </c>
      <c r="M57" s="41">
        <f t="shared" si="15"/>
        <v>28273</v>
      </c>
      <c r="N57" s="41">
        <f t="shared" si="15"/>
        <v>10369</v>
      </c>
      <c r="O57" s="41">
        <f t="shared" si="15"/>
        <v>25833</v>
      </c>
      <c r="P57" s="41">
        <f t="shared" si="15"/>
        <v>7615</v>
      </c>
      <c r="Q57" s="42">
        <f t="shared" si="15"/>
        <v>18194</v>
      </c>
      <c r="R57" s="40">
        <f t="shared" si="15"/>
        <v>44500</v>
      </c>
      <c r="S57" s="40">
        <f t="shared" si="15"/>
        <v>-5700</v>
      </c>
      <c r="T57" s="40">
        <f>+T41</f>
        <v>-57089.200000000012</v>
      </c>
      <c r="U57" s="40">
        <f>+U41</f>
        <v>103700</v>
      </c>
      <c r="V57" s="40">
        <f>V41</f>
        <v>-36300</v>
      </c>
      <c r="W57" s="40">
        <f>W41</f>
        <v>83560.889999999985</v>
      </c>
      <c r="X57" s="40"/>
      <c r="Y57" s="40">
        <f>Y41</f>
        <v>-18908.170000000042</v>
      </c>
      <c r="Z57" s="71"/>
      <c r="AA57" s="40"/>
      <c r="AB57" s="40">
        <f>AB41</f>
        <v>79471.71000000005</v>
      </c>
      <c r="AC57" s="71"/>
      <c r="AD57" s="40"/>
      <c r="AE57" s="45">
        <f>AE41</f>
        <v>20455.400000000023</v>
      </c>
      <c r="AF57" s="71"/>
      <c r="AG57" s="40"/>
      <c r="AH57" s="70">
        <f>AH41</f>
        <v>73623.790000000008</v>
      </c>
      <c r="AI57" s="71"/>
      <c r="AJ57" s="40"/>
    </row>
    <row r="58" spans="1:36" x14ac:dyDescent="0.25">
      <c r="A58" s="1" t="s">
        <v>46</v>
      </c>
      <c r="C58" s="41">
        <f t="shared" ref="C58:V58" si="16">+C56+C57</f>
        <v>99380</v>
      </c>
      <c r="D58" s="41">
        <f t="shared" si="16"/>
        <v>94211</v>
      </c>
      <c r="E58" s="41">
        <f t="shared" si="16"/>
        <v>106374</v>
      </c>
      <c r="F58" s="41">
        <f t="shared" si="16"/>
        <v>117334</v>
      </c>
      <c r="G58" s="41">
        <f t="shared" si="16"/>
        <v>121941</v>
      </c>
      <c r="H58" s="41">
        <f t="shared" si="16"/>
        <v>131057</v>
      </c>
      <c r="I58" s="41">
        <f t="shared" si="16"/>
        <v>105268</v>
      </c>
      <c r="J58" s="41">
        <f t="shared" si="16"/>
        <v>151118</v>
      </c>
      <c r="K58" s="41">
        <f t="shared" si="16"/>
        <v>131289</v>
      </c>
      <c r="L58" s="41">
        <f t="shared" si="16"/>
        <v>135082</v>
      </c>
      <c r="M58" s="41">
        <f t="shared" si="16"/>
        <v>163355</v>
      </c>
      <c r="N58" s="41">
        <f t="shared" si="16"/>
        <v>173724</v>
      </c>
      <c r="O58" s="41">
        <f t="shared" si="16"/>
        <v>199557</v>
      </c>
      <c r="P58" s="41">
        <f t="shared" si="16"/>
        <v>207172</v>
      </c>
      <c r="Q58" s="42">
        <f t="shared" si="16"/>
        <v>225366</v>
      </c>
      <c r="R58" s="40">
        <f t="shared" si="16"/>
        <v>269866</v>
      </c>
      <c r="S58" s="40">
        <f t="shared" si="16"/>
        <v>264166</v>
      </c>
      <c r="T58" s="40">
        <f t="shared" si="16"/>
        <v>207076.83000000002</v>
      </c>
      <c r="U58" s="40">
        <f t="shared" si="16"/>
        <v>367866</v>
      </c>
      <c r="V58" s="40">
        <f t="shared" si="16"/>
        <v>170776.83000000002</v>
      </c>
      <c r="W58" s="40">
        <f>+W56+W57</f>
        <v>290637.71999999997</v>
      </c>
      <c r="X58" s="40"/>
      <c r="Y58" s="40">
        <f>+Y56+Y57</f>
        <v>271729.54999999993</v>
      </c>
      <c r="Z58" s="71"/>
      <c r="AA58" s="40"/>
      <c r="AB58" s="40">
        <f>+AB56+AB57</f>
        <v>351201.26</v>
      </c>
      <c r="AC58" s="71"/>
      <c r="AD58" s="40"/>
      <c r="AE58" s="45">
        <f>+AE56+AE57</f>
        <v>371656.66000000003</v>
      </c>
      <c r="AF58" s="71"/>
      <c r="AG58" s="40"/>
      <c r="AH58" s="70">
        <f>+AH56+AH57</f>
        <v>445280.45000000007</v>
      </c>
      <c r="AI58" s="71"/>
      <c r="AJ58" s="40"/>
    </row>
    <row r="59" spans="1:36" x14ac:dyDescent="0.25"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42"/>
      <c r="R59" s="40"/>
      <c r="S59" s="40"/>
      <c r="T59" s="40"/>
      <c r="U59" s="40"/>
      <c r="V59" s="40"/>
      <c r="W59" s="40"/>
      <c r="X59" s="40"/>
      <c r="Y59" s="40"/>
      <c r="Z59" s="71"/>
      <c r="AA59" s="40"/>
      <c r="AB59" s="40"/>
      <c r="AC59" s="71"/>
      <c r="AD59" s="40"/>
      <c r="AE59" s="45"/>
      <c r="AF59" s="71"/>
      <c r="AG59" s="40"/>
      <c r="AH59" s="70"/>
      <c r="AI59" s="71"/>
      <c r="AJ59" s="40"/>
    </row>
    <row r="60" spans="1:36" s="13" customFormat="1" x14ac:dyDescent="0.25">
      <c r="A60" s="16" t="s">
        <v>47</v>
      </c>
      <c r="B60" s="46"/>
      <c r="C60" s="47">
        <f>+C52+C58</f>
        <v>107680</v>
      </c>
      <c r="D60" s="47">
        <f>+D52+D58</f>
        <v>100211</v>
      </c>
      <c r="E60" s="47">
        <f>+E52+E58</f>
        <v>112374</v>
      </c>
      <c r="F60" s="47">
        <f>+F52+F58</f>
        <v>122034</v>
      </c>
      <c r="G60" s="47">
        <f>+G52+G58</f>
        <v>124941</v>
      </c>
      <c r="H60" s="47">
        <f t="shared" ref="H60:S60" si="17">+H52+H53+H58</f>
        <v>259582</v>
      </c>
      <c r="I60" s="47">
        <f t="shared" si="17"/>
        <v>238268</v>
      </c>
      <c r="J60" s="47">
        <f t="shared" si="17"/>
        <v>216118</v>
      </c>
      <c r="K60" s="47">
        <f t="shared" si="17"/>
        <v>352939</v>
      </c>
      <c r="L60" s="47">
        <f t="shared" si="17"/>
        <v>315970</v>
      </c>
      <c r="M60" s="47">
        <f t="shared" si="17"/>
        <v>344555</v>
      </c>
      <c r="N60" s="47">
        <f t="shared" si="17"/>
        <v>383099</v>
      </c>
      <c r="O60" s="47">
        <f t="shared" si="17"/>
        <v>379557</v>
      </c>
      <c r="P60" s="47">
        <f t="shared" si="17"/>
        <v>391072</v>
      </c>
      <c r="Q60" s="48">
        <f t="shared" si="17"/>
        <v>405366</v>
      </c>
      <c r="R60" s="49">
        <f t="shared" si="17"/>
        <v>454866</v>
      </c>
      <c r="S60" s="49">
        <f t="shared" si="17"/>
        <v>449166</v>
      </c>
      <c r="T60" s="49">
        <f>+T52+T53+T58+T54</f>
        <v>418713.08</v>
      </c>
      <c r="U60" s="49">
        <f>+U52+U53+U54+U58</f>
        <v>457866</v>
      </c>
      <c r="V60" s="49">
        <f>V52+V53+V54+V58</f>
        <v>246476.83000000002</v>
      </c>
      <c r="W60" s="49">
        <f>W52+W53+W54+W58</f>
        <v>367810.97</v>
      </c>
      <c r="X60" s="49"/>
      <c r="Y60" s="49">
        <f>Y52+Y53+Y54+Y58</f>
        <v>485573.14999999991</v>
      </c>
      <c r="Z60" s="49"/>
      <c r="AA60" s="49"/>
      <c r="AB60" s="49">
        <f>AB52+AB53+AB54+AB58</f>
        <v>362841.26</v>
      </c>
      <c r="AC60" s="49"/>
      <c r="AD60" s="49"/>
      <c r="AE60" s="49">
        <f>AE52+AE53+AE54+AE58</f>
        <v>379690.12000000005</v>
      </c>
      <c r="AF60" s="49"/>
      <c r="AG60" s="49"/>
      <c r="AH60" s="68">
        <f>AH52+AH53+AH54+AH58</f>
        <v>445638.45000000007</v>
      </c>
      <c r="AI60" s="49"/>
      <c r="AJ60" s="49"/>
    </row>
    <row r="62" spans="1:36" ht="13.5" customHeight="1" x14ac:dyDescent="0.25"/>
    <row r="63" spans="1:36" hidden="1" x14ac:dyDescent="0.25">
      <c r="A63" s="1" t="s">
        <v>49</v>
      </c>
      <c r="C63" s="1">
        <f>+C8/2</f>
        <v>59400</v>
      </c>
      <c r="D63" s="1">
        <f>+D8/2</f>
        <v>59600</v>
      </c>
      <c r="E63" s="1">
        <f>+E8/2</f>
        <v>55800</v>
      </c>
      <c r="F63" s="1">
        <f>+F8/2</f>
        <v>61000</v>
      </c>
      <c r="G63" s="1">
        <f>+G8/2-100</f>
        <v>54400</v>
      </c>
      <c r="H63" s="1">
        <f>+H8/2-100</f>
        <v>54800</v>
      </c>
      <c r="I63" s="1">
        <f>+I8/2</f>
        <v>54500</v>
      </c>
      <c r="R63" s="1">
        <f>+R8/2</f>
        <v>95700</v>
      </c>
      <c r="U63" s="1">
        <f>+U8/2</f>
        <v>105750</v>
      </c>
    </row>
    <row r="64" spans="1:36" hidden="1" x14ac:dyDescent="0.25">
      <c r="A64" s="1" t="s">
        <v>50</v>
      </c>
      <c r="H64" s="1">
        <v>45200</v>
      </c>
      <c r="I64" s="1">
        <v>34800</v>
      </c>
      <c r="R64" s="1">
        <v>45000</v>
      </c>
      <c r="U64" s="1">
        <v>45000</v>
      </c>
    </row>
    <row r="65" spans="1:21" hidden="1" x14ac:dyDescent="0.25">
      <c r="A65" s="1" t="s">
        <v>51</v>
      </c>
      <c r="C65" s="1">
        <v>15000</v>
      </c>
      <c r="D65" s="1">
        <v>15000</v>
      </c>
      <c r="E65" s="1">
        <v>15000</v>
      </c>
      <c r="F65" s="1">
        <v>15000</v>
      </c>
      <c r="G65" s="1">
        <v>15000</v>
      </c>
      <c r="H65" s="1">
        <v>15000</v>
      </c>
      <c r="I65" s="1">
        <v>15000</v>
      </c>
      <c r="R65" s="1">
        <v>15000</v>
      </c>
      <c r="U65" s="1">
        <v>15000</v>
      </c>
    </row>
    <row r="66" spans="1:21" hidden="1" x14ac:dyDescent="0.25">
      <c r="A66" s="13" t="s">
        <v>52</v>
      </c>
      <c r="C66" s="13">
        <f>+C63+C65</f>
        <v>74400</v>
      </c>
      <c r="D66" s="13">
        <f>+D63+D65</f>
        <v>74600</v>
      </c>
      <c r="E66" s="13">
        <f>+E63+E65</f>
        <v>70800</v>
      </c>
      <c r="F66" s="13">
        <f>+F63+F65</f>
        <v>76000</v>
      </c>
      <c r="G66" s="13">
        <f>+G63+G65</f>
        <v>69400</v>
      </c>
      <c r="H66" s="13">
        <f>+H63+H65+H64</f>
        <v>115000</v>
      </c>
      <c r="I66" s="13">
        <f>+I63+I65+I64</f>
        <v>104300</v>
      </c>
      <c r="J66" s="13"/>
      <c r="K66" s="13"/>
      <c r="L66" s="13"/>
      <c r="M66" s="13"/>
      <c r="N66" s="13"/>
      <c r="O66" s="13"/>
      <c r="P66" s="13"/>
      <c r="Q66" s="13"/>
      <c r="R66" s="13">
        <f>+R63+R65+R64</f>
        <v>155700</v>
      </c>
      <c r="S66" s="13"/>
      <c r="T66" s="13"/>
      <c r="U66" s="13">
        <f>+U63+U65+U64</f>
        <v>165750</v>
      </c>
    </row>
    <row r="68" spans="1:21" x14ac:dyDescent="0.25">
      <c r="C68" s="1" t="s">
        <v>1</v>
      </c>
      <c r="D68" s="1" t="s">
        <v>1</v>
      </c>
      <c r="E68" s="1" t="s">
        <v>1</v>
      </c>
      <c r="I68" s="1" t="s">
        <v>1</v>
      </c>
      <c r="J68" s="1" t="s">
        <v>1</v>
      </c>
      <c r="L68" s="1" t="s">
        <v>1</v>
      </c>
      <c r="M68" s="1" t="s">
        <v>1</v>
      </c>
    </row>
    <row r="69" spans="1:21" x14ac:dyDescent="0.25">
      <c r="C69" s="1" t="s">
        <v>1</v>
      </c>
      <c r="D69" s="1" t="s">
        <v>1</v>
      </c>
      <c r="E69" s="1" t="s">
        <v>1</v>
      </c>
      <c r="I69" s="1" t="s">
        <v>1</v>
      </c>
      <c r="J69" s="1" t="s">
        <v>1</v>
      </c>
      <c r="L69" s="1" t="s">
        <v>1</v>
      </c>
      <c r="M69" s="1" t="s">
        <v>1</v>
      </c>
    </row>
    <row r="70" spans="1:21" x14ac:dyDescent="0.25">
      <c r="A70" s="1" t="s">
        <v>1</v>
      </c>
      <c r="C70" s="1" t="s">
        <v>1</v>
      </c>
      <c r="D70" s="1" t="s">
        <v>1</v>
      </c>
      <c r="E70" s="1" t="s">
        <v>1</v>
      </c>
    </row>
  </sheetData>
  <mergeCells count="1">
    <mergeCell ref="A1:U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7"/>
  <sheetViews>
    <sheetView workbookViewId="0">
      <selection activeCell="F13" sqref="F13"/>
    </sheetView>
  </sheetViews>
  <sheetFormatPr baseColWidth="10" defaultColWidth="11.453125" defaultRowHeight="11.5" x14ac:dyDescent="0.25"/>
  <cols>
    <col min="1" max="1" width="32.81640625" style="1" bestFit="1" customWidth="1"/>
    <col min="2" max="2" width="11.453125" style="1" customWidth="1"/>
    <col min="3" max="3" width="9.453125" style="1" bestFit="1" customWidth="1"/>
    <col min="4" max="5" width="11" style="1" bestFit="1" customWidth="1"/>
    <col min="6" max="8" width="13.81640625" style="1" customWidth="1"/>
    <col min="9" max="9" width="12.81640625" style="1" customWidth="1"/>
    <col min="10" max="16384" width="11.453125" style="1"/>
  </cols>
  <sheetData>
    <row r="1" spans="1:9" s="2" customFormat="1" ht="17.5" x14ac:dyDescent="0.35">
      <c r="A1" s="86" t="s">
        <v>0</v>
      </c>
      <c r="B1" s="86"/>
      <c r="C1" s="86"/>
      <c r="D1" s="86"/>
      <c r="E1" s="86"/>
      <c r="F1" s="86"/>
      <c r="G1" s="86"/>
      <c r="H1" s="86"/>
      <c r="I1" s="86"/>
    </row>
    <row r="3" spans="1:9" x14ac:dyDescent="0.25">
      <c r="D3" s="3" t="s">
        <v>1</v>
      </c>
    </row>
    <row r="4" spans="1:9" s="8" customFormat="1" x14ac:dyDescent="0.25">
      <c r="A4" s="4" t="s">
        <v>2</v>
      </c>
      <c r="B4" s="5"/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</row>
    <row r="5" spans="1:9" x14ac:dyDescent="0.25">
      <c r="C5" s="9"/>
      <c r="D5" s="10"/>
      <c r="E5" s="9"/>
      <c r="F5" s="9"/>
      <c r="G5" s="9"/>
      <c r="H5" s="9"/>
      <c r="I5" s="10"/>
    </row>
    <row r="6" spans="1:9" x14ac:dyDescent="0.25">
      <c r="A6" s="1" t="s">
        <v>10</v>
      </c>
      <c r="C6" s="11">
        <v>148800</v>
      </c>
      <c r="D6" s="12">
        <v>127200</v>
      </c>
      <c r="E6" s="11">
        <v>129600</v>
      </c>
      <c r="F6" s="11">
        <v>145400</v>
      </c>
      <c r="G6" s="11">
        <v>125600</v>
      </c>
      <c r="H6" s="11">
        <v>126200</v>
      </c>
      <c r="I6" s="12">
        <v>120000</v>
      </c>
    </row>
    <row r="7" spans="1:9" x14ac:dyDescent="0.25">
      <c r="A7" s="1" t="s">
        <v>11</v>
      </c>
      <c r="C7" s="11">
        <v>-30000</v>
      </c>
      <c r="D7" s="12">
        <f>-10600+2600</f>
        <v>-8000</v>
      </c>
      <c r="E7" s="11">
        <v>-18000</v>
      </c>
      <c r="F7" s="11">
        <v>-23400</v>
      </c>
      <c r="G7" s="11">
        <v>-16600</v>
      </c>
      <c r="H7" s="11">
        <v>-16400</v>
      </c>
      <c r="I7" s="12"/>
    </row>
    <row r="8" spans="1:9" x14ac:dyDescent="0.25">
      <c r="A8" s="13" t="s">
        <v>12</v>
      </c>
      <c r="C8" s="14">
        <f t="shared" ref="C8:I8" si="0">+C6+C7</f>
        <v>118800</v>
      </c>
      <c r="D8" s="15">
        <f t="shared" si="0"/>
        <v>119200</v>
      </c>
      <c r="E8" s="14">
        <f t="shared" si="0"/>
        <v>111600</v>
      </c>
      <c r="F8" s="14">
        <f t="shared" si="0"/>
        <v>122000</v>
      </c>
      <c r="G8" s="14">
        <f t="shared" si="0"/>
        <v>109000</v>
      </c>
      <c r="H8" s="14">
        <f t="shared" si="0"/>
        <v>109800</v>
      </c>
      <c r="I8" s="15">
        <f t="shared" si="0"/>
        <v>120000</v>
      </c>
    </row>
    <row r="9" spans="1:9" x14ac:dyDescent="0.25">
      <c r="A9" s="1" t="s">
        <v>13</v>
      </c>
      <c r="C9" s="11">
        <v>1400</v>
      </c>
      <c r="D9" s="12">
        <v>6800</v>
      </c>
      <c r="E9" s="11">
        <v>4400</v>
      </c>
      <c r="F9" s="11">
        <v>10000</v>
      </c>
      <c r="G9" s="11">
        <v>4000</v>
      </c>
      <c r="H9" s="11">
        <v>12000</v>
      </c>
      <c r="I9" s="12"/>
    </row>
    <row r="10" spans="1:9" x14ac:dyDescent="0.25">
      <c r="A10" s="1" t="s">
        <v>14</v>
      </c>
      <c r="C10" s="11"/>
      <c r="D10" s="12"/>
      <c r="E10" s="11"/>
      <c r="F10" s="11"/>
      <c r="G10" s="11"/>
      <c r="H10" s="11">
        <v>50000</v>
      </c>
      <c r="I10" s="12">
        <v>50000</v>
      </c>
    </row>
    <row r="11" spans="1:9" x14ac:dyDescent="0.25">
      <c r="A11" s="1" t="s">
        <v>15</v>
      </c>
      <c r="C11" s="11">
        <v>2910</v>
      </c>
      <c r="D11" s="12">
        <v>2240</v>
      </c>
      <c r="E11" s="11">
        <v>700</v>
      </c>
      <c r="F11" s="11">
        <v>2200</v>
      </c>
      <c r="G11" s="11">
        <v>794</v>
      </c>
      <c r="H11" s="11">
        <v>1580</v>
      </c>
      <c r="I11" s="12">
        <v>1000</v>
      </c>
    </row>
    <row r="12" spans="1:9" x14ac:dyDescent="0.25">
      <c r="A12" s="1" t="s">
        <v>16</v>
      </c>
      <c r="C12" s="11">
        <v>5700</v>
      </c>
      <c r="D12" s="12">
        <v>0</v>
      </c>
      <c r="E12" s="11"/>
      <c r="F12" s="11"/>
      <c r="G12" s="11">
        <v>1315</v>
      </c>
      <c r="H12" s="11">
        <v>18750</v>
      </c>
      <c r="I12" s="12">
        <v>20000</v>
      </c>
    </row>
    <row r="13" spans="1:9" s="13" customFormat="1" x14ac:dyDescent="0.25">
      <c r="A13" s="16" t="s">
        <v>17</v>
      </c>
      <c r="B13" s="17"/>
      <c r="C13" s="18">
        <f t="shared" ref="C13:I13" si="1">+SUM(C8:C12)</f>
        <v>128810</v>
      </c>
      <c r="D13" s="19">
        <f t="shared" si="1"/>
        <v>128240</v>
      </c>
      <c r="E13" s="18">
        <f t="shared" si="1"/>
        <v>116700</v>
      </c>
      <c r="F13" s="18">
        <f t="shared" si="1"/>
        <v>134200</v>
      </c>
      <c r="G13" s="18">
        <f t="shared" si="1"/>
        <v>115109</v>
      </c>
      <c r="H13" s="18">
        <f t="shared" si="1"/>
        <v>192130</v>
      </c>
      <c r="I13" s="19">
        <f t="shared" si="1"/>
        <v>191000</v>
      </c>
    </row>
    <row r="14" spans="1:9" x14ac:dyDescent="0.25">
      <c r="C14" s="11"/>
      <c r="D14" s="12"/>
      <c r="E14" s="11"/>
      <c r="F14" s="11"/>
      <c r="G14" s="11"/>
      <c r="H14" s="11"/>
      <c r="I14" s="12"/>
    </row>
    <row r="15" spans="1:9" x14ac:dyDescent="0.25">
      <c r="A15" s="1" t="s">
        <v>18</v>
      </c>
      <c r="C15" s="11">
        <v>74400</v>
      </c>
      <c r="D15" s="12">
        <f>73100+1500</f>
        <v>74600</v>
      </c>
      <c r="E15" s="11">
        <v>70800</v>
      </c>
      <c r="F15" s="11">
        <v>76000</v>
      </c>
      <c r="G15" s="11">
        <v>69400</v>
      </c>
      <c r="H15" s="11"/>
      <c r="I15" s="12">
        <v>120000</v>
      </c>
    </row>
    <row r="16" spans="1:9" x14ac:dyDescent="0.25">
      <c r="A16" s="1" t="s">
        <v>19</v>
      </c>
      <c r="C16" s="11"/>
      <c r="D16" s="12"/>
      <c r="E16" s="11"/>
      <c r="F16" s="11"/>
      <c r="G16" s="11"/>
      <c r="H16" s="11">
        <v>115000</v>
      </c>
      <c r="I16" s="12"/>
    </row>
    <row r="17" spans="1:9" x14ac:dyDescent="0.25">
      <c r="A17" s="1" t="s">
        <v>20</v>
      </c>
      <c r="C17" s="11">
        <v>5500</v>
      </c>
      <c r="D17" s="12">
        <v>7500</v>
      </c>
      <c r="E17" s="11">
        <v>7500</v>
      </c>
      <c r="F17" s="11">
        <v>7500</v>
      </c>
      <c r="G17" s="11">
        <v>7500</v>
      </c>
      <c r="H17" s="11"/>
      <c r="I17" s="12">
        <v>0</v>
      </c>
    </row>
    <row r="18" spans="1:9" x14ac:dyDescent="0.25">
      <c r="A18" s="1" t="s">
        <v>21</v>
      </c>
      <c r="C18" s="11">
        <v>2000</v>
      </c>
      <c r="D18" s="12">
        <v>3000</v>
      </c>
      <c r="E18" s="11">
        <v>3000</v>
      </c>
      <c r="F18" s="11">
        <v>3000</v>
      </c>
      <c r="G18" s="11">
        <v>3000</v>
      </c>
      <c r="H18" s="11"/>
      <c r="I18" s="12">
        <v>5000</v>
      </c>
    </row>
    <row r="19" spans="1:9" x14ac:dyDescent="0.25">
      <c r="A19" s="1" t="s">
        <v>19</v>
      </c>
      <c r="C19" s="11"/>
      <c r="D19" s="12"/>
      <c r="E19" s="11"/>
      <c r="F19" s="11"/>
      <c r="G19" s="11"/>
      <c r="H19" s="11">
        <v>5000</v>
      </c>
      <c r="I19" s="12"/>
    </row>
    <row r="20" spans="1:9" x14ac:dyDescent="0.25">
      <c r="A20" s="1" t="s">
        <v>22</v>
      </c>
      <c r="C20" s="11">
        <v>2000</v>
      </c>
      <c r="D20" s="12">
        <v>3000</v>
      </c>
      <c r="E20" s="11">
        <v>3000</v>
      </c>
      <c r="F20" s="11">
        <v>3000</v>
      </c>
      <c r="G20" s="11">
        <v>3000</v>
      </c>
      <c r="H20" s="11"/>
      <c r="I20" s="12">
        <v>5000</v>
      </c>
    </row>
    <row r="21" spans="1:9" x14ac:dyDescent="0.25">
      <c r="A21" s="1" t="s">
        <v>19</v>
      </c>
      <c r="C21" s="11"/>
      <c r="D21" s="12"/>
      <c r="E21" s="11"/>
      <c r="F21" s="11"/>
      <c r="G21" s="11"/>
      <c r="H21" s="11">
        <v>5000</v>
      </c>
      <c r="I21" s="12"/>
    </row>
    <row r="22" spans="1:9" x14ac:dyDescent="0.25">
      <c r="A22" s="1" t="s">
        <v>23</v>
      </c>
      <c r="C22" s="11"/>
      <c r="D22" s="12">
        <v>12000</v>
      </c>
      <c r="E22" s="11"/>
      <c r="F22" s="11"/>
      <c r="G22" s="11">
        <v>0</v>
      </c>
      <c r="H22" s="11"/>
      <c r="I22" s="12">
        <v>2500</v>
      </c>
    </row>
    <row r="23" spans="1:9" x14ac:dyDescent="0.25">
      <c r="A23" s="1" t="s">
        <v>24</v>
      </c>
      <c r="C23" s="11"/>
      <c r="D23" s="12"/>
      <c r="E23" s="11"/>
      <c r="F23" s="11">
        <v>9105</v>
      </c>
      <c r="G23" s="11">
        <v>0</v>
      </c>
      <c r="H23" s="11">
        <v>5962</v>
      </c>
      <c r="I23" s="12">
        <v>15000</v>
      </c>
    </row>
    <row r="24" spans="1:9" x14ac:dyDescent="0.25">
      <c r="A24" s="1" t="s">
        <v>25</v>
      </c>
      <c r="C24" s="11"/>
      <c r="D24" s="12">
        <v>999</v>
      </c>
      <c r="E24" s="11"/>
      <c r="F24" s="11">
        <v>0</v>
      </c>
      <c r="G24" s="11">
        <v>5291</v>
      </c>
      <c r="H24" s="11"/>
      <c r="I24" s="12">
        <v>15000</v>
      </c>
    </row>
    <row r="25" spans="1:9" x14ac:dyDescent="0.25">
      <c r="A25" s="1" t="s">
        <v>26</v>
      </c>
      <c r="C25" s="11">
        <f>11227+4500</f>
        <v>15727</v>
      </c>
      <c r="D25" s="12">
        <v>8214</v>
      </c>
      <c r="E25" s="11">
        <v>7353</v>
      </c>
      <c r="F25" s="11">
        <v>7608</v>
      </c>
      <c r="G25" s="11">
        <v>6480</v>
      </c>
      <c r="H25" s="11">
        <f>6671+525</f>
        <v>7196</v>
      </c>
      <c r="I25" s="12">
        <v>7000</v>
      </c>
    </row>
    <row r="26" spans="1:9" x14ac:dyDescent="0.25">
      <c r="A26" s="1" t="s">
        <v>27</v>
      </c>
      <c r="C26" s="11">
        <v>1950</v>
      </c>
      <c r="D26" s="12">
        <v>2475</v>
      </c>
      <c r="E26" s="11">
        <v>2475</v>
      </c>
      <c r="F26" s="11">
        <v>2750</v>
      </c>
      <c r="G26" s="11">
        <v>2750</v>
      </c>
      <c r="H26" s="11">
        <v>2802</v>
      </c>
      <c r="I26" s="12">
        <v>3000</v>
      </c>
    </row>
    <row r="27" spans="1:9" x14ac:dyDescent="0.25">
      <c r="A27" s="1" t="s">
        <v>28</v>
      </c>
      <c r="C27" s="11">
        <v>5020</v>
      </c>
      <c r="D27" s="12">
        <v>5586</v>
      </c>
      <c r="E27" s="11">
        <v>6158</v>
      </c>
      <c r="F27" s="11">
        <v>7228</v>
      </c>
      <c r="G27" s="11">
        <v>4578</v>
      </c>
      <c r="H27" s="11">
        <v>7116</v>
      </c>
      <c r="I27" s="12">
        <v>7500</v>
      </c>
    </row>
    <row r="28" spans="1:9" x14ac:dyDescent="0.25">
      <c r="A28" s="1" t="s">
        <v>29</v>
      </c>
      <c r="C28" s="11">
        <v>10086</v>
      </c>
      <c r="D28" s="12">
        <v>8076</v>
      </c>
      <c r="E28" s="11">
        <v>7488</v>
      </c>
      <c r="F28" s="11">
        <v>8365</v>
      </c>
      <c r="G28" s="11">
        <v>6990</v>
      </c>
      <c r="H28" s="11">
        <v>7460</v>
      </c>
      <c r="I28" s="12">
        <v>7500</v>
      </c>
    </row>
    <row r="29" spans="1:9" x14ac:dyDescent="0.25">
      <c r="A29" s="1" t="s">
        <v>30</v>
      </c>
      <c r="C29" s="11">
        <v>648</v>
      </c>
      <c r="D29" s="12">
        <v>605</v>
      </c>
      <c r="E29" s="11">
        <v>599</v>
      </c>
      <c r="F29" s="11">
        <v>608</v>
      </c>
      <c r="G29" s="11">
        <v>570</v>
      </c>
      <c r="H29" s="11">
        <v>585</v>
      </c>
      <c r="I29" s="12">
        <v>800</v>
      </c>
    </row>
    <row r="30" spans="1:9" x14ac:dyDescent="0.25">
      <c r="A30" s="1" t="s">
        <v>31</v>
      </c>
      <c r="C30" s="11">
        <f>820+1000+1500</f>
        <v>3320</v>
      </c>
      <c r="D30" s="12">
        <v>14044</v>
      </c>
      <c r="E30" s="11">
        <v>7308</v>
      </c>
      <c r="F30" s="11">
        <v>4655</v>
      </c>
      <c r="G30" s="11">
        <v>7906</v>
      </c>
      <c r="H30" s="11">
        <v>2225</v>
      </c>
      <c r="I30" s="12">
        <v>6000</v>
      </c>
    </row>
    <row r="31" spans="1:9" x14ac:dyDescent="0.25">
      <c r="A31" s="1" t="s">
        <v>32</v>
      </c>
      <c r="C31" s="11"/>
      <c r="D31" s="12"/>
      <c r="E31" s="11"/>
      <c r="F31" s="11">
        <v>1772</v>
      </c>
      <c r="G31" s="11">
        <v>1397</v>
      </c>
      <c r="H31" s="11">
        <v>1398</v>
      </c>
      <c r="I31" s="12">
        <v>2000</v>
      </c>
    </row>
    <row r="32" spans="1:9" s="13" customFormat="1" x14ac:dyDescent="0.25">
      <c r="A32" s="16" t="s">
        <v>33</v>
      </c>
      <c r="B32" s="17"/>
      <c r="C32" s="18">
        <f t="shared" ref="C32:I32" si="2">+SUM(C15:C31)</f>
        <v>120651</v>
      </c>
      <c r="D32" s="19">
        <f t="shared" si="2"/>
        <v>140099</v>
      </c>
      <c r="E32" s="18">
        <f t="shared" si="2"/>
        <v>115681</v>
      </c>
      <c r="F32" s="18">
        <f t="shared" si="2"/>
        <v>131591</v>
      </c>
      <c r="G32" s="18">
        <f t="shared" si="2"/>
        <v>118862</v>
      </c>
      <c r="H32" s="18">
        <f t="shared" si="2"/>
        <v>159744</v>
      </c>
      <c r="I32" s="19">
        <f t="shared" si="2"/>
        <v>196300</v>
      </c>
    </row>
    <row r="33" spans="1:9" x14ac:dyDescent="0.25">
      <c r="C33" s="11"/>
      <c r="D33" s="12"/>
      <c r="E33" s="11"/>
      <c r="F33" s="11"/>
      <c r="G33" s="11"/>
      <c r="H33" s="11"/>
      <c r="I33" s="12"/>
    </row>
    <row r="34" spans="1:9" s="13" customFormat="1" x14ac:dyDescent="0.25">
      <c r="A34" s="13" t="s">
        <v>34</v>
      </c>
      <c r="C34" s="14">
        <f t="shared" ref="C34:I34" si="3">+C13-C32</f>
        <v>8159</v>
      </c>
      <c r="D34" s="15">
        <f t="shared" si="3"/>
        <v>-11859</v>
      </c>
      <c r="E34" s="14">
        <f t="shared" si="3"/>
        <v>1019</v>
      </c>
      <c r="F34" s="14">
        <f t="shared" si="3"/>
        <v>2609</v>
      </c>
      <c r="G34" s="14">
        <f t="shared" si="3"/>
        <v>-3753</v>
      </c>
      <c r="H34" s="14">
        <f t="shared" si="3"/>
        <v>32386</v>
      </c>
      <c r="I34" s="15">
        <f t="shared" si="3"/>
        <v>-5300</v>
      </c>
    </row>
    <row r="35" spans="1:9" x14ac:dyDescent="0.25">
      <c r="C35" s="11"/>
      <c r="D35" s="12"/>
      <c r="E35" s="11"/>
      <c r="F35" s="11"/>
      <c r="G35" s="11"/>
      <c r="H35" s="11"/>
      <c r="I35" s="12"/>
    </row>
    <row r="36" spans="1:9" x14ac:dyDescent="0.25">
      <c r="A36" s="1" t="s">
        <v>35</v>
      </c>
      <c r="C36" s="11">
        <v>4389</v>
      </c>
      <c r="D36" s="12">
        <v>4690</v>
      </c>
      <c r="E36" s="11">
        <v>3644</v>
      </c>
      <c r="F36" s="11">
        <v>852</v>
      </c>
      <c r="G36" s="11">
        <v>860</v>
      </c>
      <c r="H36" s="11">
        <v>1730</v>
      </c>
      <c r="I36" s="12">
        <v>2000</v>
      </c>
    </row>
    <row r="37" spans="1:9" x14ac:dyDescent="0.25">
      <c r="C37" s="11"/>
      <c r="D37" s="12"/>
      <c r="E37" s="11"/>
      <c r="F37" s="11"/>
      <c r="G37" s="11"/>
      <c r="H37" s="11"/>
      <c r="I37" s="12"/>
    </row>
    <row r="38" spans="1:9" s="13" customFormat="1" ht="12" customHeight="1" x14ac:dyDescent="0.25">
      <c r="A38" s="16" t="s">
        <v>36</v>
      </c>
      <c r="B38" s="17"/>
      <c r="C38" s="18">
        <f t="shared" ref="C38:I38" si="4">+C34+C36</f>
        <v>12548</v>
      </c>
      <c r="D38" s="19">
        <f t="shared" si="4"/>
        <v>-7169</v>
      </c>
      <c r="E38" s="18">
        <f t="shared" si="4"/>
        <v>4663</v>
      </c>
      <c r="F38" s="18">
        <f t="shared" si="4"/>
        <v>3461</v>
      </c>
      <c r="G38" s="18">
        <f t="shared" si="4"/>
        <v>-2893</v>
      </c>
      <c r="H38" s="18">
        <f t="shared" si="4"/>
        <v>34116</v>
      </c>
      <c r="I38" s="19">
        <f t="shared" si="4"/>
        <v>-3300</v>
      </c>
    </row>
    <row r="39" spans="1:9" x14ac:dyDescent="0.25">
      <c r="C39" s="11"/>
      <c r="D39" s="12"/>
      <c r="E39" s="11"/>
      <c r="F39" s="11"/>
      <c r="G39" s="11"/>
      <c r="H39" s="11"/>
      <c r="I39" s="12"/>
    </row>
    <row r="40" spans="1:9" x14ac:dyDescent="0.25">
      <c r="A40" s="13" t="s">
        <v>37</v>
      </c>
      <c r="C40" s="11"/>
      <c r="D40" s="12"/>
      <c r="E40" s="11"/>
      <c r="F40" s="11"/>
      <c r="G40" s="11"/>
      <c r="H40" s="11"/>
      <c r="I40" s="12"/>
    </row>
    <row r="41" spans="1:9" x14ac:dyDescent="0.25">
      <c r="C41" s="11"/>
      <c r="D41" s="12"/>
      <c r="E41" s="11"/>
      <c r="F41" s="11"/>
      <c r="G41" s="11"/>
      <c r="H41" s="11"/>
      <c r="I41" s="12"/>
    </row>
    <row r="42" spans="1:9" x14ac:dyDescent="0.25">
      <c r="A42" s="1" t="s">
        <v>38</v>
      </c>
      <c r="C42" s="11">
        <v>0</v>
      </c>
      <c r="D42" s="12">
        <v>2600</v>
      </c>
      <c r="E42" s="11">
        <v>400</v>
      </c>
      <c r="F42" s="11">
        <v>0</v>
      </c>
      <c r="G42" s="11">
        <v>0</v>
      </c>
      <c r="H42" s="11">
        <v>0</v>
      </c>
      <c r="I42" s="12">
        <v>0</v>
      </c>
    </row>
    <row r="43" spans="1:9" x14ac:dyDescent="0.25">
      <c r="A43" s="1" t="s">
        <v>39</v>
      </c>
      <c r="C43" s="11"/>
      <c r="D43" s="12">
        <v>10606</v>
      </c>
      <c r="E43" s="11">
        <v>0</v>
      </c>
      <c r="F43" s="11">
        <v>0</v>
      </c>
      <c r="G43" s="11">
        <v>0</v>
      </c>
      <c r="H43" s="11">
        <v>18750</v>
      </c>
      <c r="I43" s="12">
        <v>0</v>
      </c>
    </row>
    <row r="44" spans="1:9" x14ac:dyDescent="0.25">
      <c r="A44" s="1" t="s">
        <v>40</v>
      </c>
      <c r="C44" s="11">
        <f>50639+51541</f>
        <v>102180</v>
      </c>
      <c r="D44" s="12">
        <f>10599+68906</f>
        <v>79505</v>
      </c>
      <c r="E44" s="11">
        <v>96973</v>
      </c>
      <c r="F44" s="11">
        <v>99534</v>
      </c>
      <c r="G44" s="11">
        <v>94941</v>
      </c>
      <c r="H44" s="11">
        <v>235832</v>
      </c>
      <c r="I44" s="12">
        <f>+I56-I42-I43</f>
        <v>127757</v>
      </c>
    </row>
    <row r="45" spans="1:9" x14ac:dyDescent="0.25">
      <c r="C45" s="11"/>
      <c r="D45" s="12"/>
      <c r="E45" s="11"/>
      <c r="F45" s="11"/>
      <c r="G45" s="11"/>
      <c r="H45" s="11"/>
      <c r="I45" s="12"/>
    </row>
    <row r="46" spans="1:9" s="13" customFormat="1" x14ac:dyDescent="0.25">
      <c r="A46" s="16" t="s">
        <v>41</v>
      </c>
      <c r="B46" s="17"/>
      <c r="C46" s="18">
        <f t="shared" ref="C46:H46" si="5">+SUM(C42:C45)</f>
        <v>102180</v>
      </c>
      <c r="D46" s="19">
        <f t="shared" si="5"/>
        <v>92711</v>
      </c>
      <c r="E46" s="18">
        <f t="shared" si="5"/>
        <v>97373</v>
      </c>
      <c r="F46" s="18">
        <f t="shared" si="5"/>
        <v>99534</v>
      </c>
      <c r="G46" s="18">
        <f t="shared" si="5"/>
        <v>94941</v>
      </c>
      <c r="H46" s="18">
        <f t="shared" si="5"/>
        <v>254582</v>
      </c>
      <c r="I46" s="19">
        <f>+I42+I44</f>
        <v>127757</v>
      </c>
    </row>
    <row r="47" spans="1:9" x14ac:dyDescent="0.25">
      <c r="C47" s="11"/>
      <c r="D47" s="12"/>
      <c r="E47" s="11"/>
      <c r="F47" s="11"/>
      <c r="G47" s="11"/>
      <c r="H47" s="11"/>
      <c r="I47" s="12"/>
    </row>
    <row r="48" spans="1:9" x14ac:dyDescent="0.25">
      <c r="A48" s="1" t="s">
        <v>42</v>
      </c>
      <c r="C48" s="11">
        <f>6000+2300</f>
        <v>8300</v>
      </c>
      <c r="D48" s="12">
        <f>4500+1500</f>
        <v>6000</v>
      </c>
      <c r="E48" s="11">
        <v>6000</v>
      </c>
      <c r="F48" s="11">
        <v>4700</v>
      </c>
      <c r="G48" s="11">
        <v>3000</v>
      </c>
      <c r="H48" s="11">
        <v>3525</v>
      </c>
      <c r="I48" s="12">
        <v>5000</v>
      </c>
    </row>
    <row r="49" spans="1:9" x14ac:dyDescent="0.25">
      <c r="A49" s="1" t="s">
        <v>43</v>
      </c>
      <c r="C49" s="11"/>
      <c r="D49" s="12"/>
      <c r="E49" s="11"/>
      <c r="F49" s="11"/>
      <c r="G49" s="11"/>
      <c r="H49" s="11">
        <v>125000</v>
      </c>
      <c r="I49" s="12"/>
    </row>
    <row r="50" spans="1:9" x14ac:dyDescent="0.25">
      <c r="C50" s="11"/>
      <c r="D50" s="12"/>
      <c r="E50" s="11"/>
      <c r="F50" s="11"/>
      <c r="G50" s="11"/>
      <c r="H50" s="11"/>
      <c r="I50" s="12"/>
    </row>
    <row r="51" spans="1:9" x14ac:dyDescent="0.25">
      <c r="C51" s="11"/>
      <c r="D51" s="12"/>
      <c r="E51" s="11"/>
      <c r="F51" s="11"/>
      <c r="G51" s="11"/>
      <c r="H51" s="11"/>
      <c r="I51" s="12"/>
    </row>
    <row r="52" spans="1:9" x14ac:dyDescent="0.25">
      <c r="A52" s="13" t="s">
        <v>44</v>
      </c>
      <c r="C52" s="11">
        <v>81332</v>
      </c>
      <c r="D52" s="12">
        <v>93880</v>
      </c>
      <c r="E52" s="11">
        <f>+D54</f>
        <v>86711</v>
      </c>
      <c r="F52" s="11">
        <f>+E54-1</f>
        <v>91373</v>
      </c>
      <c r="G52" s="11">
        <f>+F54</f>
        <v>94834</v>
      </c>
      <c r="H52" s="11">
        <f>+G54</f>
        <v>91941</v>
      </c>
      <c r="I52" s="11">
        <f>+H54</f>
        <v>126057</v>
      </c>
    </row>
    <row r="53" spans="1:9" x14ac:dyDescent="0.25">
      <c r="A53" s="1" t="s">
        <v>45</v>
      </c>
      <c r="C53" s="11">
        <f t="shared" ref="C53:I53" si="6">+C38</f>
        <v>12548</v>
      </c>
      <c r="D53" s="12">
        <f t="shared" si="6"/>
        <v>-7169</v>
      </c>
      <c r="E53" s="11">
        <f t="shared" si="6"/>
        <v>4663</v>
      </c>
      <c r="F53" s="11">
        <f t="shared" si="6"/>
        <v>3461</v>
      </c>
      <c r="G53" s="11">
        <f t="shared" si="6"/>
        <v>-2893</v>
      </c>
      <c r="H53" s="11">
        <f>+H38</f>
        <v>34116</v>
      </c>
      <c r="I53" s="12">
        <f t="shared" si="6"/>
        <v>-3300</v>
      </c>
    </row>
    <row r="54" spans="1:9" x14ac:dyDescent="0.25">
      <c r="A54" s="1" t="s">
        <v>46</v>
      </c>
      <c r="C54" s="11">
        <f t="shared" ref="C54:I54" si="7">+C52+C53</f>
        <v>93880</v>
      </c>
      <c r="D54" s="12">
        <f t="shared" si="7"/>
        <v>86711</v>
      </c>
      <c r="E54" s="11">
        <f t="shared" si="7"/>
        <v>91374</v>
      </c>
      <c r="F54" s="11">
        <f t="shared" si="7"/>
        <v>94834</v>
      </c>
      <c r="G54" s="11">
        <f t="shared" si="7"/>
        <v>91941</v>
      </c>
      <c r="H54" s="11">
        <f t="shared" si="7"/>
        <v>126057</v>
      </c>
      <c r="I54" s="12">
        <f t="shared" si="7"/>
        <v>122757</v>
      </c>
    </row>
    <row r="55" spans="1:9" x14ac:dyDescent="0.25">
      <c r="C55" s="20"/>
      <c r="D55" s="21"/>
      <c r="E55" s="20"/>
      <c r="F55" s="20"/>
      <c r="G55" s="20"/>
      <c r="H55" s="20"/>
      <c r="I55" s="21"/>
    </row>
    <row r="56" spans="1:9" s="13" customFormat="1" x14ac:dyDescent="0.25">
      <c r="A56" s="16" t="s">
        <v>47</v>
      </c>
      <c r="B56" s="17"/>
      <c r="C56" s="18">
        <f t="shared" ref="C56:I56" si="8">+C48+C54</f>
        <v>102180</v>
      </c>
      <c r="D56" s="19">
        <f t="shared" si="8"/>
        <v>92711</v>
      </c>
      <c r="E56" s="18">
        <f t="shared" si="8"/>
        <v>97374</v>
      </c>
      <c r="F56" s="18">
        <f t="shared" si="8"/>
        <v>99534</v>
      </c>
      <c r="G56" s="18">
        <f t="shared" si="8"/>
        <v>94941</v>
      </c>
      <c r="H56" s="18">
        <f>+H48+H49+H54</f>
        <v>254582</v>
      </c>
      <c r="I56" s="19">
        <f t="shared" si="8"/>
        <v>127757</v>
      </c>
    </row>
    <row r="57" spans="1:9" x14ac:dyDescent="0.25">
      <c r="D57" s="22"/>
      <c r="I57" s="22"/>
    </row>
    <row r="58" spans="1:9" x14ac:dyDescent="0.25">
      <c r="A58" s="23" t="s">
        <v>48</v>
      </c>
      <c r="C58" s="13" t="s">
        <v>1</v>
      </c>
      <c r="D58" s="8" t="s">
        <v>1</v>
      </c>
      <c r="E58" s="13"/>
      <c r="F58" s="13"/>
      <c r="G58" s="13"/>
      <c r="H58" s="13"/>
      <c r="I58" s="8" t="s">
        <v>1</v>
      </c>
    </row>
    <row r="59" spans="1:9" x14ac:dyDescent="0.25">
      <c r="D59" s="22"/>
      <c r="I59" s="22"/>
    </row>
    <row r="60" spans="1:9" x14ac:dyDescent="0.25">
      <c r="A60" s="1" t="s">
        <v>49</v>
      </c>
      <c r="C60" s="1">
        <f t="shared" ref="C60:I60" si="9">+C8/2</f>
        <v>59400</v>
      </c>
      <c r="D60" s="22">
        <f t="shared" si="9"/>
        <v>59600</v>
      </c>
      <c r="E60" s="1">
        <f t="shared" si="9"/>
        <v>55800</v>
      </c>
      <c r="F60" s="1">
        <f t="shared" si="9"/>
        <v>61000</v>
      </c>
      <c r="G60" s="1">
        <f>+G8/2-100</f>
        <v>54400</v>
      </c>
      <c r="H60" s="1">
        <f>+H8/2-100</f>
        <v>54800</v>
      </c>
      <c r="I60" s="22">
        <f t="shared" si="9"/>
        <v>60000</v>
      </c>
    </row>
    <row r="61" spans="1:9" x14ac:dyDescent="0.25">
      <c r="A61" s="1" t="s">
        <v>50</v>
      </c>
      <c r="D61" s="22"/>
      <c r="H61" s="1">
        <v>45200</v>
      </c>
      <c r="I61" s="22">
        <v>45000</v>
      </c>
    </row>
    <row r="62" spans="1:9" x14ac:dyDescent="0.25">
      <c r="A62" s="1" t="s">
        <v>51</v>
      </c>
      <c r="C62" s="1">
        <v>15000</v>
      </c>
      <c r="D62" s="22">
        <v>15000</v>
      </c>
      <c r="E62" s="1">
        <v>15000</v>
      </c>
      <c r="F62" s="1">
        <v>15000</v>
      </c>
      <c r="G62" s="1">
        <v>15000</v>
      </c>
      <c r="H62" s="1">
        <v>15000</v>
      </c>
      <c r="I62" s="22">
        <v>15000</v>
      </c>
    </row>
    <row r="63" spans="1:9" ht="13.5" customHeight="1" x14ac:dyDescent="0.25">
      <c r="A63" s="13" t="s">
        <v>52</v>
      </c>
      <c r="C63" s="13">
        <f>+C60+C62</f>
        <v>74400</v>
      </c>
      <c r="D63" s="8">
        <f>+D60+D62</f>
        <v>74600</v>
      </c>
      <c r="E63" s="13">
        <f>+E60+E62</f>
        <v>70800</v>
      </c>
      <c r="F63" s="13">
        <f>+F60+F62</f>
        <v>76000</v>
      </c>
      <c r="G63" s="13">
        <f>+G60+G62</f>
        <v>69400</v>
      </c>
      <c r="H63" s="13">
        <f>+H60+H62+H61</f>
        <v>115000</v>
      </c>
      <c r="I63" s="13">
        <f>+I60+I62+I61</f>
        <v>120000</v>
      </c>
    </row>
    <row r="64" spans="1:9" ht="6.75" customHeight="1" x14ac:dyDescent="0.25"/>
    <row r="65" spans="1:6" x14ac:dyDescent="0.25">
      <c r="A65" s="1" t="s">
        <v>53</v>
      </c>
      <c r="C65" s="1" t="s">
        <v>1</v>
      </c>
      <c r="D65" s="1" t="s">
        <v>54</v>
      </c>
      <c r="E65" s="1" t="s">
        <v>54</v>
      </c>
      <c r="F65" s="1" t="s">
        <v>55</v>
      </c>
    </row>
    <row r="66" spans="1:6" x14ac:dyDescent="0.25">
      <c r="A66" s="1" t="s">
        <v>56</v>
      </c>
      <c r="C66" s="1" t="s">
        <v>1</v>
      </c>
      <c r="D66" s="1" t="s">
        <v>57</v>
      </c>
      <c r="E66" s="1" t="s">
        <v>57</v>
      </c>
      <c r="F66" s="1" t="s">
        <v>58</v>
      </c>
    </row>
    <row r="67" spans="1:6" x14ac:dyDescent="0.25">
      <c r="A67" s="1" t="s">
        <v>1</v>
      </c>
      <c r="C67" s="1" t="s">
        <v>1</v>
      </c>
      <c r="D67" s="1" t="s">
        <v>1</v>
      </c>
      <c r="E67" s="1" t="s">
        <v>1</v>
      </c>
    </row>
  </sheetData>
  <sheetProtection selectLockedCells="1" selectUnlockedCells="1"/>
  <mergeCells count="1">
    <mergeCell ref="A1:I1"/>
  </mergeCells>
  <pageMargins left="0.30972222222222223" right="0.25" top="0.27013888888888887" bottom="0.44027777777777777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4"/>
  <sheetViews>
    <sheetView workbookViewId="0">
      <selection activeCell="A2" sqref="A2"/>
    </sheetView>
  </sheetViews>
  <sheetFormatPr baseColWidth="10" defaultColWidth="11.453125" defaultRowHeight="17.5" x14ac:dyDescent="0.35"/>
  <cols>
    <col min="1" max="1" width="14" style="2" customWidth="1"/>
    <col min="2" max="2" width="11.453125" style="2"/>
    <col min="3" max="3" width="26" style="2" customWidth="1"/>
    <col min="4" max="16384" width="11.453125" style="2"/>
  </cols>
  <sheetData>
    <row r="1" spans="1:6" x14ac:dyDescent="0.35">
      <c r="A1" s="87" t="s">
        <v>59</v>
      </c>
      <c r="B1" s="87"/>
      <c r="C1" s="87"/>
      <c r="D1" s="87"/>
      <c r="E1" s="87"/>
      <c r="F1" s="87"/>
    </row>
    <row r="2" spans="1:6" ht="18" x14ac:dyDescent="0.4">
      <c r="A2" s="24" t="s">
        <v>1</v>
      </c>
      <c r="B2" s="25" t="s">
        <v>1</v>
      </c>
      <c r="C2" s="26" t="s">
        <v>1</v>
      </c>
      <c r="D2" s="27"/>
      <c r="E2" s="27"/>
      <c r="F2" s="27"/>
    </row>
    <row r="3" spans="1:6" x14ac:dyDescent="0.35">
      <c r="A3" s="2">
        <v>123</v>
      </c>
      <c r="B3" s="2">
        <v>2</v>
      </c>
      <c r="C3" s="28" t="s">
        <v>60</v>
      </c>
      <c r="D3" s="28"/>
      <c r="E3" s="2" t="s">
        <v>61</v>
      </c>
    </row>
    <row r="4" spans="1:6" x14ac:dyDescent="0.35">
      <c r="B4" s="2">
        <v>1</v>
      </c>
      <c r="C4" s="28" t="s">
        <v>62</v>
      </c>
      <c r="D4" s="28"/>
      <c r="E4" s="2" t="s">
        <v>61</v>
      </c>
    </row>
    <row r="5" spans="1:6" x14ac:dyDescent="0.35">
      <c r="A5" s="2">
        <v>943</v>
      </c>
      <c r="B5" s="2">
        <v>2</v>
      </c>
      <c r="C5" s="28" t="s">
        <v>63</v>
      </c>
      <c r="D5" s="28"/>
      <c r="E5" s="2" t="s">
        <v>61</v>
      </c>
    </row>
    <row r="6" spans="1:6" x14ac:dyDescent="0.35">
      <c r="A6" s="2">
        <v>572</v>
      </c>
      <c r="B6" s="2">
        <v>1</v>
      </c>
      <c r="C6" s="28" t="s">
        <v>64</v>
      </c>
      <c r="D6" s="28"/>
      <c r="E6" s="2" t="s">
        <v>61</v>
      </c>
    </row>
    <row r="7" spans="1:6" x14ac:dyDescent="0.35">
      <c r="B7" s="2">
        <v>2</v>
      </c>
      <c r="C7" s="28" t="s">
        <v>65</v>
      </c>
      <c r="D7" s="28"/>
      <c r="E7" s="2" t="s">
        <v>61</v>
      </c>
    </row>
    <row r="8" spans="1:6" x14ac:dyDescent="0.35">
      <c r="B8" s="2">
        <v>1</v>
      </c>
      <c r="C8" s="28" t="s">
        <v>66</v>
      </c>
      <c r="D8" s="28"/>
      <c r="E8" s="2" t="s">
        <v>61</v>
      </c>
    </row>
    <row r="9" spans="1:6" x14ac:dyDescent="0.35">
      <c r="B9" s="2">
        <v>1</v>
      </c>
      <c r="C9" s="28" t="s">
        <v>67</v>
      </c>
      <c r="D9" s="28"/>
      <c r="E9" s="2" t="s">
        <v>61</v>
      </c>
    </row>
    <row r="10" spans="1:6" x14ac:dyDescent="0.35">
      <c r="B10" s="2">
        <v>2</v>
      </c>
      <c r="C10" s="28" t="s">
        <v>68</v>
      </c>
      <c r="D10" s="28"/>
    </row>
    <row r="11" spans="1:6" x14ac:dyDescent="0.35">
      <c r="A11" s="2">
        <v>1015</v>
      </c>
      <c r="B11" s="2">
        <v>2</v>
      </c>
      <c r="C11" s="28" t="s">
        <v>69</v>
      </c>
      <c r="D11" s="28"/>
    </row>
    <row r="12" spans="1:6" x14ac:dyDescent="0.35">
      <c r="B12" s="2">
        <v>2</v>
      </c>
      <c r="C12" s="28" t="s">
        <v>70</v>
      </c>
      <c r="D12" s="28"/>
    </row>
    <row r="13" spans="1:6" x14ac:dyDescent="0.35">
      <c r="B13" s="2" t="s">
        <v>1</v>
      </c>
      <c r="C13" s="28" t="s">
        <v>1</v>
      </c>
      <c r="D13" s="28"/>
    </row>
    <row r="14" spans="1:6" x14ac:dyDescent="0.35">
      <c r="B14" s="2" t="s">
        <v>1</v>
      </c>
      <c r="C14" s="28" t="s">
        <v>1</v>
      </c>
      <c r="D14" s="28"/>
    </row>
    <row r="15" spans="1:6" x14ac:dyDescent="0.35">
      <c r="B15" s="2">
        <v>0</v>
      </c>
      <c r="C15" s="28" t="s">
        <v>71</v>
      </c>
      <c r="D15" s="28"/>
      <c r="E15" s="2" t="s">
        <v>61</v>
      </c>
    </row>
    <row r="16" spans="1:6" x14ac:dyDescent="0.35">
      <c r="B16" s="2" t="s">
        <v>1</v>
      </c>
      <c r="C16" s="28" t="s">
        <v>1</v>
      </c>
      <c r="D16" s="28"/>
      <c r="E16" s="2" t="s">
        <v>1</v>
      </c>
    </row>
    <row r="17" spans="1:5" x14ac:dyDescent="0.35">
      <c r="B17" s="2">
        <v>0</v>
      </c>
      <c r="C17" s="28" t="s">
        <v>72</v>
      </c>
      <c r="D17" s="28"/>
      <c r="E17" s="2" t="s">
        <v>61</v>
      </c>
    </row>
    <row r="18" spans="1:5" x14ac:dyDescent="0.35">
      <c r="C18" s="28"/>
      <c r="D18" s="28"/>
    </row>
    <row r="19" spans="1:5" x14ac:dyDescent="0.35">
      <c r="C19" s="28"/>
      <c r="D19" s="28"/>
    </row>
    <row r="20" spans="1:5" x14ac:dyDescent="0.35">
      <c r="C20" s="28"/>
      <c r="D20" s="28"/>
    </row>
    <row r="22" spans="1:5" x14ac:dyDescent="0.35">
      <c r="A22" s="2" t="s">
        <v>73</v>
      </c>
      <c r="B22" s="2">
        <f>+SUM(B2:B21)</f>
        <v>16</v>
      </c>
    </row>
    <row r="24" spans="1:5" x14ac:dyDescent="0.35">
      <c r="C24" s="2" t="s">
        <v>74</v>
      </c>
    </row>
  </sheetData>
  <sheetProtection selectLockedCells="1" selectUnlockedCells="1"/>
  <mergeCells count="1">
    <mergeCell ref="A1:F1"/>
  </mergeCells>
  <printOptions gridLines="1"/>
  <pageMargins left="0.75" right="0.7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8"/>
  <sheetViews>
    <sheetView workbookViewId="0">
      <selection activeCell="A20" sqref="A20"/>
    </sheetView>
  </sheetViews>
  <sheetFormatPr baseColWidth="10" defaultColWidth="11.453125" defaultRowHeight="11.5" x14ac:dyDescent="0.25"/>
  <cols>
    <col min="1" max="1" width="24.81640625" style="1" customWidth="1"/>
    <col min="2" max="2" width="5.1796875" style="1" customWidth="1"/>
    <col min="3" max="3" width="0.7265625" style="1" customWidth="1"/>
    <col min="4" max="4" width="0.54296875" style="1" customWidth="1"/>
    <col min="5" max="5" width="0.7265625" style="1" customWidth="1"/>
    <col min="6" max="6" width="12.26953125" style="1" customWidth="1"/>
    <col min="7" max="8" width="13.81640625" style="1" customWidth="1"/>
    <col min="9" max="9" width="11.7265625" style="1" customWidth="1"/>
    <col min="10" max="10" width="9.7265625" style="1" customWidth="1"/>
    <col min="11" max="16384" width="11.453125" style="1"/>
  </cols>
  <sheetData>
    <row r="1" spans="1:10" s="2" customFormat="1" ht="17.5" x14ac:dyDescent="0.35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</row>
    <row r="3" spans="1:10" x14ac:dyDescent="0.25">
      <c r="D3" s="3" t="s">
        <v>1</v>
      </c>
    </row>
    <row r="4" spans="1:10" s="8" customFormat="1" x14ac:dyDescent="0.25">
      <c r="A4" s="4" t="s">
        <v>2</v>
      </c>
      <c r="B4" s="5"/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75</v>
      </c>
      <c r="J4" s="7" t="s">
        <v>76</v>
      </c>
    </row>
    <row r="5" spans="1:10" x14ac:dyDescent="0.25">
      <c r="C5" s="9"/>
      <c r="D5" s="10"/>
      <c r="E5" s="9"/>
      <c r="F5" s="9"/>
      <c r="G5" s="9"/>
      <c r="H5" s="9"/>
      <c r="I5" s="9"/>
      <c r="J5" s="10"/>
    </row>
    <row r="6" spans="1:10" x14ac:dyDescent="0.25">
      <c r="A6" s="1" t="s">
        <v>10</v>
      </c>
      <c r="C6" s="11">
        <v>148800</v>
      </c>
      <c r="D6" s="12">
        <v>127200</v>
      </c>
      <c r="E6" s="11">
        <v>129600</v>
      </c>
      <c r="F6" s="11">
        <v>145400</v>
      </c>
      <c r="G6" s="11">
        <v>125600</v>
      </c>
      <c r="H6" s="11">
        <v>126200</v>
      </c>
      <c r="I6" s="11">
        <v>133800</v>
      </c>
      <c r="J6" s="12">
        <v>120000</v>
      </c>
    </row>
    <row r="7" spans="1:10" x14ac:dyDescent="0.25">
      <c r="A7" s="1" t="s">
        <v>11</v>
      </c>
      <c r="C7" s="11">
        <v>-30000</v>
      </c>
      <c r="D7" s="12">
        <f>-10600+2600</f>
        <v>-8000</v>
      </c>
      <c r="E7" s="11">
        <v>-18000</v>
      </c>
      <c r="F7" s="11">
        <v>-23400</v>
      </c>
      <c r="G7" s="11">
        <v>-16600</v>
      </c>
      <c r="H7" s="11">
        <v>-16400</v>
      </c>
      <c r="I7" s="11">
        <v>-24800</v>
      </c>
      <c r="J7" s="12"/>
    </row>
    <row r="8" spans="1:10" x14ac:dyDescent="0.25">
      <c r="A8" s="13" t="s">
        <v>12</v>
      </c>
      <c r="C8" s="14">
        <f t="shared" ref="C8:J8" si="0">+C6+C7</f>
        <v>118800</v>
      </c>
      <c r="D8" s="15">
        <f t="shared" si="0"/>
        <v>119200</v>
      </c>
      <c r="E8" s="14">
        <f t="shared" si="0"/>
        <v>111600</v>
      </c>
      <c r="F8" s="14">
        <f t="shared" si="0"/>
        <v>122000</v>
      </c>
      <c r="G8" s="14">
        <f t="shared" si="0"/>
        <v>109000</v>
      </c>
      <c r="H8" s="14">
        <f t="shared" si="0"/>
        <v>109800</v>
      </c>
      <c r="I8" s="14">
        <f t="shared" si="0"/>
        <v>109000</v>
      </c>
      <c r="J8" s="15">
        <f t="shared" si="0"/>
        <v>120000</v>
      </c>
    </row>
    <row r="9" spans="1:10" x14ac:dyDescent="0.25">
      <c r="A9" s="1" t="s">
        <v>13</v>
      </c>
      <c r="C9" s="11">
        <v>1400</v>
      </c>
      <c r="D9" s="12">
        <v>6800</v>
      </c>
      <c r="E9" s="11">
        <v>4400</v>
      </c>
      <c r="F9" s="11">
        <v>10000</v>
      </c>
      <c r="G9" s="11">
        <v>4000</v>
      </c>
      <c r="H9" s="11">
        <v>12000</v>
      </c>
      <c r="I9" s="11">
        <v>13200</v>
      </c>
      <c r="J9" s="12"/>
    </row>
    <row r="10" spans="1:10" x14ac:dyDescent="0.25">
      <c r="A10" s="1" t="s">
        <v>14</v>
      </c>
      <c r="C10" s="11"/>
      <c r="D10" s="12"/>
      <c r="E10" s="11"/>
      <c r="F10" s="11"/>
      <c r="G10" s="11"/>
      <c r="H10" s="11">
        <v>50000</v>
      </c>
      <c r="I10" s="11">
        <v>40000</v>
      </c>
      <c r="J10" s="12">
        <v>40000</v>
      </c>
    </row>
    <row r="11" spans="1:10" x14ac:dyDescent="0.25">
      <c r="A11" s="1" t="s">
        <v>15</v>
      </c>
      <c r="C11" s="11">
        <v>2910</v>
      </c>
      <c r="D11" s="12">
        <v>2240</v>
      </c>
      <c r="E11" s="11">
        <v>700</v>
      </c>
      <c r="F11" s="11">
        <v>2200</v>
      </c>
      <c r="G11" s="11">
        <v>794</v>
      </c>
      <c r="H11" s="11">
        <v>1580</v>
      </c>
      <c r="I11" s="11">
        <v>2750</v>
      </c>
      <c r="J11" s="12">
        <v>3000</v>
      </c>
    </row>
    <row r="12" spans="1:10" x14ac:dyDescent="0.25">
      <c r="A12" s="1" t="s">
        <v>16</v>
      </c>
      <c r="C12" s="11">
        <v>5700</v>
      </c>
      <c r="D12" s="12">
        <v>0</v>
      </c>
      <c r="E12" s="11"/>
      <c r="F12" s="11"/>
      <c r="G12" s="11">
        <v>1315</v>
      </c>
      <c r="H12" s="11">
        <v>18750</v>
      </c>
      <c r="I12" s="11">
        <f>5406+14000</f>
        <v>19406</v>
      </c>
      <c r="J12" s="12">
        <v>25000</v>
      </c>
    </row>
    <row r="13" spans="1:10" s="13" customFormat="1" x14ac:dyDescent="0.25">
      <c r="A13" s="16" t="s">
        <v>17</v>
      </c>
      <c r="B13" s="17"/>
      <c r="C13" s="18">
        <f t="shared" ref="C13:J13" si="1">+SUM(C8:C12)</f>
        <v>128810</v>
      </c>
      <c r="D13" s="19">
        <f t="shared" si="1"/>
        <v>128240</v>
      </c>
      <c r="E13" s="18">
        <f t="shared" si="1"/>
        <v>116700</v>
      </c>
      <c r="F13" s="18">
        <f t="shared" si="1"/>
        <v>134200</v>
      </c>
      <c r="G13" s="18">
        <f t="shared" si="1"/>
        <v>115109</v>
      </c>
      <c r="H13" s="18">
        <f t="shared" si="1"/>
        <v>192130</v>
      </c>
      <c r="I13" s="18">
        <f t="shared" si="1"/>
        <v>184356</v>
      </c>
      <c r="J13" s="19">
        <f t="shared" si="1"/>
        <v>188000</v>
      </c>
    </row>
    <row r="14" spans="1:10" x14ac:dyDescent="0.25">
      <c r="C14" s="11"/>
      <c r="D14" s="12"/>
      <c r="E14" s="11"/>
      <c r="F14" s="11"/>
      <c r="G14" s="11"/>
      <c r="H14" s="11"/>
      <c r="I14" s="11"/>
      <c r="J14" s="12"/>
    </row>
    <row r="15" spans="1:10" x14ac:dyDescent="0.25">
      <c r="A15" s="1" t="s">
        <v>18</v>
      </c>
      <c r="C15" s="11">
        <v>74400</v>
      </c>
      <c r="D15" s="12">
        <f>73100+1500</f>
        <v>74600</v>
      </c>
      <c r="E15" s="11">
        <v>70800</v>
      </c>
      <c r="F15" s="11">
        <v>76000</v>
      </c>
      <c r="G15" s="11">
        <v>69400</v>
      </c>
      <c r="H15" s="11"/>
      <c r="I15" s="11">
        <v>0</v>
      </c>
      <c r="J15" s="12">
        <v>0</v>
      </c>
    </row>
    <row r="16" spans="1:10" x14ac:dyDescent="0.25">
      <c r="A16" s="1" t="s">
        <v>77</v>
      </c>
      <c r="C16" s="11"/>
      <c r="D16" s="12"/>
      <c r="E16" s="11"/>
      <c r="F16" s="11"/>
      <c r="G16" s="11"/>
      <c r="H16" s="11">
        <v>115000</v>
      </c>
      <c r="I16" s="11">
        <v>110000</v>
      </c>
      <c r="J16" s="12">
        <v>125000</v>
      </c>
    </row>
    <row r="17" spans="1:10" x14ac:dyDescent="0.25">
      <c r="A17" s="1" t="s">
        <v>20</v>
      </c>
      <c r="C17" s="11">
        <v>5500</v>
      </c>
      <c r="D17" s="12">
        <v>7500</v>
      </c>
      <c r="E17" s="11">
        <v>7500</v>
      </c>
      <c r="F17" s="11">
        <v>7500</v>
      </c>
      <c r="G17" s="11">
        <v>7500</v>
      </c>
      <c r="H17" s="11"/>
      <c r="I17" s="11"/>
      <c r="J17" s="12">
        <v>0</v>
      </c>
    </row>
    <row r="18" spans="1:10" x14ac:dyDescent="0.25">
      <c r="A18" s="1" t="s">
        <v>21</v>
      </c>
      <c r="C18" s="11">
        <v>2000</v>
      </c>
      <c r="D18" s="12">
        <v>3000</v>
      </c>
      <c r="E18" s="11">
        <v>3000</v>
      </c>
      <c r="F18" s="11">
        <v>3000</v>
      </c>
      <c r="G18" s="11">
        <v>3000</v>
      </c>
      <c r="H18" s="11"/>
      <c r="I18" s="11">
        <v>15000</v>
      </c>
      <c r="J18" s="12">
        <v>10000</v>
      </c>
    </row>
    <row r="19" spans="1:10" x14ac:dyDescent="0.25">
      <c r="A19" s="1" t="s">
        <v>77</v>
      </c>
      <c r="C19" s="11"/>
      <c r="D19" s="12"/>
      <c r="E19" s="11"/>
      <c r="F19" s="11"/>
      <c r="G19" s="11"/>
      <c r="H19" s="11">
        <v>5000</v>
      </c>
      <c r="I19" s="11">
        <v>0</v>
      </c>
      <c r="J19" s="12"/>
    </row>
    <row r="20" spans="1:10" x14ac:dyDescent="0.25">
      <c r="A20" s="1" t="s">
        <v>22</v>
      </c>
      <c r="C20" s="11">
        <v>2000</v>
      </c>
      <c r="D20" s="12">
        <v>3000</v>
      </c>
      <c r="E20" s="11">
        <v>3000</v>
      </c>
      <c r="F20" s="11">
        <v>3000</v>
      </c>
      <c r="G20" s="11">
        <v>3000</v>
      </c>
      <c r="H20" s="11"/>
      <c r="I20" s="11"/>
      <c r="J20" s="12">
        <v>0</v>
      </c>
    </row>
    <row r="21" spans="1:10" x14ac:dyDescent="0.25">
      <c r="A21" s="1" t="s">
        <v>77</v>
      </c>
      <c r="C21" s="11"/>
      <c r="D21" s="12"/>
      <c r="E21" s="11"/>
      <c r="F21" s="11"/>
      <c r="G21" s="11"/>
      <c r="H21" s="11">
        <v>5000</v>
      </c>
      <c r="I21" s="11">
        <v>-5000</v>
      </c>
      <c r="J21" s="12"/>
    </row>
    <row r="22" spans="1:10" x14ac:dyDescent="0.25">
      <c r="A22" s="1" t="s">
        <v>23</v>
      </c>
      <c r="C22" s="11"/>
      <c r="D22" s="12">
        <v>12000</v>
      </c>
      <c r="E22" s="11"/>
      <c r="F22" s="11"/>
      <c r="G22" s="11">
        <v>0</v>
      </c>
      <c r="H22" s="11"/>
      <c r="I22" s="11">
        <v>12324</v>
      </c>
      <c r="J22" s="12">
        <v>0</v>
      </c>
    </row>
    <row r="23" spans="1:10" x14ac:dyDescent="0.25">
      <c r="A23" s="1" t="s">
        <v>78</v>
      </c>
      <c r="C23" s="11"/>
      <c r="D23" s="12"/>
      <c r="E23" s="11"/>
      <c r="F23" s="11"/>
      <c r="G23" s="11"/>
      <c r="H23" s="11"/>
      <c r="I23" s="11"/>
      <c r="J23" s="12">
        <v>10000</v>
      </c>
    </row>
    <row r="24" spans="1:10" x14ac:dyDescent="0.25">
      <c r="A24" s="1" t="s">
        <v>24</v>
      </c>
      <c r="C24" s="11"/>
      <c r="D24" s="12"/>
      <c r="E24" s="11"/>
      <c r="F24" s="11">
        <v>9105</v>
      </c>
      <c r="G24" s="11">
        <v>0</v>
      </c>
      <c r="H24" s="11">
        <v>5962</v>
      </c>
      <c r="I24" s="11">
        <v>36162</v>
      </c>
      <c r="J24" s="12">
        <v>10000</v>
      </c>
    </row>
    <row r="25" spans="1:10" x14ac:dyDescent="0.25">
      <c r="A25" s="1" t="s">
        <v>25</v>
      </c>
      <c r="C25" s="11"/>
      <c r="D25" s="12">
        <v>999</v>
      </c>
      <c r="E25" s="11"/>
      <c r="F25" s="11">
        <v>0</v>
      </c>
      <c r="G25" s="11">
        <v>5291</v>
      </c>
      <c r="H25" s="11"/>
      <c r="I25" s="11">
        <v>10655</v>
      </c>
      <c r="J25" s="12">
        <v>5000</v>
      </c>
    </row>
    <row r="26" spans="1:10" x14ac:dyDescent="0.25">
      <c r="A26" s="1" t="s">
        <v>26</v>
      </c>
      <c r="C26" s="11">
        <f>11227+4500</f>
        <v>15727</v>
      </c>
      <c r="D26" s="12">
        <v>8214</v>
      </c>
      <c r="E26" s="11">
        <v>7353</v>
      </c>
      <c r="F26" s="11">
        <v>7608</v>
      </c>
      <c r="G26" s="11">
        <v>6480</v>
      </c>
      <c r="H26" s="11">
        <f>6671+525</f>
        <v>7196</v>
      </c>
      <c r="I26" s="11">
        <v>2911</v>
      </c>
      <c r="J26" s="12">
        <v>7000</v>
      </c>
    </row>
    <row r="27" spans="1:10" x14ac:dyDescent="0.25">
      <c r="A27" s="1" t="s">
        <v>27</v>
      </c>
      <c r="C27" s="11">
        <v>1950</v>
      </c>
      <c r="D27" s="12">
        <v>2475</v>
      </c>
      <c r="E27" s="11">
        <v>2475</v>
      </c>
      <c r="F27" s="11">
        <v>2750</v>
      </c>
      <c r="G27" s="11">
        <v>2750</v>
      </c>
      <c r="H27" s="11">
        <v>2802</v>
      </c>
      <c r="I27" s="11">
        <v>3800</v>
      </c>
      <c r="J27" s="12">
        <v>4000</v>
      </c>
    </row>
    <row r="28" spans="1:10" x14ac:dyDescent="0.25">
      <c r="A28" s="1" t="s">
        <v>28</v>
      </c>
      <c r="C28" s="11">
        <v>5020</v>
      </c>
      <c r="D28" s="12">
        <v>5586</v>
      </c>
      <c r="E28" s="11">
        <v>6158</v>
      </c>
      <c r="F28" s="11">
        <v>7228</v>
      </c>
      <c r="G28" s="11">
        <v>4578</v>
      </c>
      <c r="H28" s="11">
        <v>7116</v>
      </c>
      <c r="I28" s="11">
        <v>8935</v>
      </c>
      <c r="J28" s="12">
        <v>9000</v>
      </c>
    </row>
    <row r="29" spans="1:10" x14ac:dyDescent="0.25">
      <c r="A29" s="1" t="s">
        <v>29</v>
      </c>
      <c r="C29" s="11">
        <v>10086</v>
      </c>
      <c r="D29" s="12">
        <v>8076</v>
      </c>
      <c r="E29" s="11">
        <v>7488</v>
      </c>
      <c r="F29" s="11">
        <v>8365</v>
      </c>
      <c r="G29" s="11">
        <v>6990</v>
      </c>
      <c r="H29" s="11">
        <v>7460</v>
      </c>
      <c r="I29" s="11">
        <v>6500</v>
      </c>
      <c r="J29" s="12">
        <v>7500</v>
      </c>
    </row>
    <row r="30" spans="1:10" x14ac:dyDescent="0.25">
      <c r="A30" s="1" t="s">
        <v>30</v>
      </c>
      <c r="C30" s="11">
        <v>648</v>
      </c>
      <c r="D30" s="12">
        <v>605</v>
      </c>
      <c r="E30" s="11">
        <v>599</v>
      </c>
      <c r="F30" s="11">
        <v>608</v>
      </c>
      <c r="G30" s="11">
        <v>570</v>
      </c>
      <c r="H30" s="11">
        <v>585</v>
      </c>
      <c r="I30" s="11">
        <v>613</v>
      </c>
      <c r="J30" s="12">
        <v>800</v>
      </c>
    </row>
    <row r="31" spans="1:10" x14ac:dyDescent="0.25">
      <c r="A31" s="1" t="s">
        <v>31</v>
      </c>
      <c r="C31" s="11">
        <f>820+1000+1500</f>
        <v>3320</v>
      </c>
      <c r="D31" s="12">
        <v>14044</v>
      </c>
      <c r="E31" s="11">
        <v>7308</v>
      </c>
      <c r="F31" s="11">
        <v>4655</v>
      </c>
      <c r="G31" s="11">
        <v>7906</v>
      </c>
      <c r="H31" s="11">
        <v>2225</v>
      </c>
      <c r="I31" s="11">
        <v>5875</v>
      </c>
      <c r="J31" s="12">
        <v>5000</v>
      </c>
    </row>
    <row r="32" spans="1:10" x14ac:dyDescent="0.25">
      <c r="A32" s="1" t="s">
        <v>32</v>
      </c>
      <c r="C32" s="11"/>
      <c r="D32" s="12"/>
      <c r="E32" s="11"/>
      <c r="F32" s="11">
        <v>1772</v>
      </c>
      <c r="G32" s="11">
        <v>1397</v>
      </c>
      <c r="H32" s="11">
        <v>1398</v>
      </c>
      <c r="I32" s="11">
        <v>1698</v>
      </c>
      <c r="J32" s="12">
        <v>2000</v>
      </c>
    </row>
    <row r="33" spans="1:10" s="13" customFormat="1" x14ac:dyDescent="0.25">
      <c r="A33" s="16" t="s">
        <v>33</v>
      </c>
      <c r="B33" s="17"/>
      <c r="C33" s="18">
        <f t="shared" ref="C33:J33" si="2">+SUM(C15:C32)</f>
        <v>120651</v>
      </c>
      <c r="D33" s="19">
        <f t="shared" si="2"/>
        <v>140099</v>
      </c>
      <c r="E33" s="18">
        <f t="shared" si="2"/>
        <v>115681</v>
      </c>
      <c r="F33" s="18">
        <f t="shared" si="2"/>
        <v>131591</v>
      </c>
      <c r="G33" s="18">
        <f t="shared" si="2"/>
        <v>118862</v>
      </c>
      <c r="H33" s="18">
        <f t="shared" si="2"/>
        <v>159744</v>
      </c>
      <c r="I33" s="18">
        <f t="shared" si="2"/>
        <v>209473</v>
      </c>
      <c r="J33" s="19">
        <f t="shared" si="2"/>
        <v>195300</v>
      </c>
    </row>
    <row r="34" spans="1:10" x14ac:dyDescent="0.25">
      <c r="C34" s="11"/>
      <c r="D34" s="12"/>
      <c r="E34" s="11"/>
      <c r="F34" s="11"/>
      <c r="G34" s="11"/>
      <c r="H34" s="11"/>
      <c r="I34" s="11"/>
      <c r="J34" s="12"/>
    </row>
    <row r="35" spans="1:10" s="13" customFormat="1" x14ac:dyDescent="0.25">
      <c r="A35" s="13" t="s">
        <v>34</v>
      </c>
      <c r="C35" s="14">
        <f t="shared" ref="C35:J35" si="3">+C13-C33</f>
        <v>8159</v>
      </c>
      <c r="D35" s="15">
        <f t="shared" si="3"/>
        <v>-11859</v>
      </c>
      <c r="E35" s="14">
        <f t="shared" si="3"/>
        <v>1019</v>
      </c>
      <c r="F35" s="14">
        <f t="shared" si="3"/>
        <v>2609</v>
      </c>
      <c r="G35" s="14">
        <f t="shared" si="3"/>
        <v>-3753</v>
      </c>
      <c r="H35" s="14">
        <f t="shared" si="3"/>
        <v>32386</v>
      </c>
      <c r="I35" s="14">
        <f>+I13-I33</f>
        <v>-25117</v>
      </c>
      <c r="J35" s="15">
        <f t="shared" si="3"/>
        <v>-7300</v>
      </c>
    </row>
    <row r="36" spans="1:10" x14ac:dyDescent="0.25">
      <c r="C36" s="11"/>
      <c r="D36" s="12"/>
      <c r="E36" s="11"/>
      <c r="F36" s="11"/>
      <c r="G36" s="11"/>
      <c r="H36" s="11"/>
      <c r="I36" s="11"/>
      <c r="J36" s="12"/>
    </row>
    <row r="37" spans="1:10" x14ac:dyDescent="0.25">
      <c r="A37" s="1" t="s">
        <v>35</v>
      </c>
      <c r="C37" s="11">
        <v>4389</v>
      </c>
      <c r="D37" s="12">
        <v>4690</v>
      </c>
      <c r="E37" s="11">
        <v>3644</v>
      </c>
      <c r="F37" s="11">
        <v>852</v>
      </c>
      <c r="G37" s="11">
        <v>860</v>
      </c>
      <c r="H37" s="11">
        <v>1730</v>
      </c>
      <c r="I37" s="11">
        <v>4328</v>
      </c>
      <c r="J37" s="12">
        <v>5000</v>
      </c>
    </row>
    <row r="38" spans="1:10" x14ac:dyDescent="0.25">
      <c r="C38" s="11"/>
      <c r="D38" s="12"/>
      <c r="E38" s="11"/>
      <c r="F38" s="11"/>
      <c r="G38" s="11"/>
      <c r="H38" s="11"/>
      <c r="I38" s="11"/>
      <c r="J38" s="12"/>
    </row>
    <row r="39" spans="1:10" s="13" customFormat="1" ht="12" customHeight="1" x14ac:dyDescent="0.25">
      <c r="A39" s="16" t="s">
        <v>36</v>
      </c>
      <c r="B39" s="17"/>
      <c r="C39" s="18">
        <f t="shared" ref="C39:J39" si="4">+C35+C37</f>
        <v>12548</v>
      </c>
      <c r="D39" s="19">
        <f t="shared" si="4"/>
        <v>-7169</v>
      </c>
      <c r="E39" s="18">
        <f t="shared" si="4"/>
        <v>4663</v>
      </c>
      <c r="F39" s="18">
        <f t="shared" si="4"/>
        <v>3461</v>
      </c>
      <c r="G39" s="18">
        <f t="shared" si="4"/>
        <v>-2893</v>
      </c>
      <c r="H39" s="18">
        <f t="shared" si="4"/>
        <v>34116</v>
      </c>
      <c r="I39" s="18">
        <f>+I35+I37</f>
        <v>-20789</v>
      </c>
      <c r="J39" s="19">
        <f t="shared" si="4"/>
        <v>-2300</v>
      </c>
    </row>
    <row r="40" spans="1:10" x14ac:dyDescent="0.25">
      <c r="C40" s="11"/>
      <c r="D40" s="12"/>
      <c r="E40" s="11"/>
      <c r="F40" s="11"/>
      <c r="G40" s="11"/>
      <c r="H40" s="11"/>
      <c r="I40" s="11"/>
      <c r="J40" s="12"/>
    </row>
    <row r="41" spans="1:10" x14ac:dyDescent="0.25">
      <c r="A41" s="13" t="s">
        <v>37</v>
      </c>
      <c r="C41" s="11"/>
      <c r="D41" s="12"/>
      <c r="E41" s="11"/>
      <c r="F41" s="11"/>
      <c r="G41" s="11"/>
      <c r="H41" s="11"/>
      <c r="I41" s="11"/>
      <c r="J41" s="12"/>
    </row>
    <row r="42" spans="1:10" x14ac:dyDescent="0.25">
      <c r="C42" s="11"/>
      <c r="D42" s="12"/>
      <c r="E42" s="11"/>
      <c r="F42" s="11"/>
      <c r="G42" s="11"/>
      <c r="H42" s="11"/>
      <c r="I42" s="11"/>
      <c r="J42" s="12"/>
    </row>
    <row r="43" spans="1:10" x14ac:dyDescent="0.25">
      <c r="A43" s="1" t="s">
        <v>38</v>
      </c>
      <c r="C43" s="11">
        <v>0</v>
      </c>
      <c r="D43" s="12">
        <v>2600</v>
      </c>
      <c r="E43" s="11">
        <v>400</v>
      </c>
      <c r="F43" s="11">
        <v>0</v>
      </c>
      <c r="G43" s="11">
        <v>0</v>
      </c>
      <c r="H43" s="11">
        <v>0</v>
      </c>
      <c r="I43" s="11">
        <v>0</v>
      </c>
      <c r="J43" s="12">
        <v>0</v>
      </c>
    </row>
    <row r="44" spans="1:10" x14ac:dyDescent="0.25">
      <c r="A44" s="1" t="s">
        <v>39</v>
      </c>
      <c r="C44" s="11"/>
      <c r="D44" s="12">
        <v>10606</v>
      </c>
      <c r="E44" s="11">
        <v>0</v>
      </c>
      <c r="F44" s="11">
        <v>0</v>
      </c>
      <c r="G44" s="11">
        <v>0</v>
      </c>
      <c r="H44" s="11">
        <v>18750</v>
      </c>
      <c r="I44" s="11">
        <v>0</v>
      </c>
      <c r="J44" s="12">
        <v>0</v>
      </c>
    </row>
    <row r="45" spans="1:10" x14ac:dyDescent="0.25">
      <c r="A45" s="1" t="s">
        <v>40</v>
      </c>
      <c r="C45" s="11">
        <f>50639+51541</f>
        <v>102180</v>
      </c>
      <c r="D45" s="12">
        <f>10599+68906</f>
        <v>79505</v>
      </c>
      <c r="E45" s="11">
        <v>96973</v>
      </c>
      <c r="F45" s="11">
        <v>99534</v>
      </c>
      <c r="G45" s="11">
        <v>94941</v>
      </c>
      <c r="H45" s="11">
        <v>235832</v>
      </c>
      <c r="I45" s="11">
        <v>238268</v>
      </c>
      <c r="J45" s="12">
        <f>+J57-J43-J44</f>
        <v>242968</v>
      </c>
    </row>
    <row r="46" spans="1:10" x14ac:dyDescent="0.25">
      <c r="C46" s="11"/>
      <c r="D46" s="12"/>
      <c r="E46" s="11"/>
      <c r="F46" s="11"/>
      <c r="G46" s="11"/>
      <c r="H46" s="11"/>
      <c r="I46" s="11"/>
      <c r="J46" s="12"/>
    </row>
    <row r="47" spans="1:10" s="13" customFormat="1" x14ac:dyDescent="0.25">
      <c r="A47" s="16" t="s">
        <v>41</v>
      </c>
      <c r="B47" s="17"/>
      <c r="C47" s="18">
        <f t="shared" ref="C47:I47" si="5">+SUM(C43:C46)</f>
        <v>102180</v>
      </c>
      <c r="D47" s="19">
        <f t="shared" si="5"/>
        <v>92711</v>
      </c>
      <c r="E47" s="18">
        <f t="shared" si="5"/>
        <v>97373</v>
      </c>
      <c r="F47" s="18">
        <f t="shared" si="5"/>
        <v>99534</v>
      </c>
      <c r="G47" s="18">
        <f t="shared" si="5"/>
        <v>94941</v>
      </c>
      <c r="H47" s="18">
        <f t="shared" si="5"/>
        <v>254582</v>
      </c>
      <c r="I47" s="18">
        <f t="shared" si="5"/>
        <v>238268</v>
      </c>
      <c r="J47" s="19">
        <f>+J43+J45</f>
        <v>242968</v>
      </c>
    </row>
    <row r="48" spans="1:10" x14ac:dyDescent="0.25">
      <c r="C48" s="11"/>
      <c r="D48" s="12"/>
      <c r="E48" s="11"/>
      <c r="F48" s="11"/>
      <c r="G48" s="11"/>
      <c r="H48" s="11"/>
      <c r="I48" s="11"/>
      <c r="J48" s="12"/>
    </row>
    <row r="49" spans="1:10" x14ac:dyDescent="0.25">
      <c r="A49" s="1" t="s">
        <v>42</v>
      </c>
      <c r="C49" s="11">
        <f>6000+2300</f>
        <v>8300</v>
      </c>
      <c r="D49" s="12">
        <f>4500+1500</f>
        <v>6000</v>
      </c>
      <c r="E49" s="11">
        <v>6000</v>
      </c>
      <c r="F49" s="11">
        <v>4700</v>
      </c>
      <c r="G49" s="11">
        <v>3000</v>
      </c>
      <c r="H49" s="11">
        <v>3525</v>
      </c>
      <c r="I49" s="11">
        <v>8000</v>
      </c>
      <c r="J49" s="12">
        <v>5000</v>
      </c>
    </row>
    <row r="50" spans="1:10" x14ac:dyDescent="0.25">
      <c r="A50" s="1" t="s">
        <v>43</v>
      </c>
      <c r="C50" s="11"/>
      <c r="D50" s="12"/>
      <c r="E50" s="11"/>
      <c r="F50" s="11"/>
      <c r="G50" s="11"/>
      <c r="H50" s="11">
        <v>125000</v>
      </c>
      <c r="I50" s="11">
        <v>125000</v>
      </c>
      <c r="J50" s="12">
        <v>135000</v>
      </c>
    </row>
    <row r="51" spans="1:10" x14ac:dyDescent="0.25">
      <c r="C51" s="11"/>
      <c r="D51" s="12"/>
      <c r="E51" s="11"/>
      <c r="F51" s="11"/>
      <c r="G51" s="11"/>
      <c r="H51" s="11"/>
      <c r="I51" s="11"/>
      <c r="J51" s="12"/>
    </row>
    <row r="52" spans="1:10" x14ac:dyDescent="0.25">
      <c r="C52" s="11"/>
      <c r="D52" s="12"/>
      <c r="E52" s="11"/>
      <c r="F52" s="11"/>
      <c r="G52" s="11"/>
      <c r="H52" s="11"/>
      <c r="I52" s="11"/>
      <c r="J52" s="12"/>
    </row>
    <row r="53" spans="1:10" x14ac:dyDescent="0.25">
      <c r="A53" s="13" t="s">
        <v>44</v>
      </c>
      <c r="C53" s="11">
        <v>81332</v>
      </c>
      <c r="D53" s="12">
        <v>93880</v>
      </c>
      <c r="E53" s="11">
        <f>+D55</f>
        <v>86711</v>
      </c>
      <c r="F53" s="11">
        <f>+E55-1</f>
        <v>91373</v>
      </c>
      <c r="G53" s="11">
        <f>+F55</f>
        <v>94834</v>
      </c>
      <c r="H53" s="11">
        <f>+G55</f>
        <v>91941</v>
      </c>
      <c r="I53" s="11">
        <f>+H55</f>
        <v>126057</v>
      </c>
      <c r="J53" s="11">
        <f>+I55</f>
        <v>105268</v>
      </c>
    </row>
    <row r="54" spans="1:10" x14ac:dyDescent="0.25">
      <c r="A54" s="1" t="s">
        <v>45</v>
      </c>
      <c r="C54" s="11">
        <f t="shared" ref="C54:J54" si="6">+C39</f>
        <v>12548</v>
      </c>
      <c r="D54" s="12">
        <f t="shared" si="6"/>
        <v>-7169</v>
      </c>
      <c r="E54" s="11">
        <f t="shared" si="6"/>
        <v>4663</v>
      </c>
      <c r="F54" s="11">
        <f t="shared" si="6"/>
        <v>3461</v>
      </c>
      <c r="G54" s="11">
        <f t="shared" si="6"/>
        <v>-2893</v>
      </c>
      <c r="H54" s="11">
        <f>+H39</f>
        <v>34116</v>
      </c>
      <c r="I54" s="11">
        <f>+I39</f>
        <v>-20789</v>
      </c>
      <c r="J54" s="12">
        <f t="shared" si="6"/>
        <v>-2300</v>
      </c>
    </row>
    <row r="55" spans="1:10" x14ac:dyDescent="0.25">
      <c r="A55" s="1" t="s">
        <v>46</v>
      </c>
      <c r="C55" s="11">
        <f t="shared" ref="C55:J55" si="7">+C53+C54</f>
        <v>93880</v>
      </c>
      <c r="D55" s="12">
        <f t="shared" si="7"/>
        <v>86711</v>
      </c>
      <c r="E55" s="11">
        <f t="shared" si="7"/>
        <v>91374</v>
      </c>
      <c r="F55" s="11">
        <f t="shared" si="7"/>
        <v>94834</v>
      </c>
      <c r="G55" s="11">
        <f t="shared" si="7"/>
        <v>91941</v>
      </c>
      <c r="H55" s="11">
        <f t="shared" si="7"/>
        <v>126057</v>
      </c>
      <c r="I55" s="11">
        <f t="shared" si="7"/>
        <v>105268</v>
      </c>
      <c r="J55" s="12">
        <f t="shared" si="7"/>
        <v>102968</v>
      </c>
    </row>
    <row r="56" spans="1:10" x14ac:dyDescent="0.25">
      <c r="C56" s="20"/>
      <c r="D56" s="21"/>
      <c r="E56" s="20"/>
      <c r="F56" s="20"/>
      <c r="G56" s="20"/>
      <c r="H56" s="20"/>
      <c r="I56" s="20"/>
      <c r="J56" s="21"/>
    </row>
    <row r="57" spans="1:10" s="13" customFormat="1" x14ac:dyDescent="0.25">
      <c r="A57" s="16" t="s">
        <v>47</v>
      </c>
      <c r="B57" s="17"/>
      <c r="C57" s="18">
        <f>+C49+C55</f>
        <v>102180</v>
      </c>
      <c r="D57" s="19">
        <f>+D49+D55</f>
        <v>92711</v>
      </c>
      <c r="E57" s="18">
        <f>+E49+E55</f>
        <v>97374</v>
      </c>
      <c r="F57" s="18">
        <f>+F49+F55</f>
        <v>99534</v>
      </c>
      <c r="G57" s="18">
        <f>+G49+G55</f>
        <v>94941</v>
      </c>
      <c r="H57" s="18">
        <f>+H49+H50+H55</f>
        <v>254582</v>
      </c>
      <c r="I57" s="18">
        <f>+I49+I50+I55</f>
        <v>238268</v>
      </c>
      <c r="J57" s="19">
        <f>+J49+J50+J55</f>
        <v>242968</v>
      </c>
    </row>
    <row r="58" spans="1:10" x14ac:dyDescent="0.25">
      <c r="D58" s="22"/>
      <c r="J58" s="22"/>
    </row>
    <row r="59" spans="1:10" x14ac:dyDescent="0.25">
      <c r="A59" s="23" t="s">
        <v>1</v>
      </c>
      <c r="C59" s="13" t="s">
        <v>1</v>
      </c>
      <c r="D59" s="8" t="s">
        <v>1</v>
      </c>
      <c r="E59" s="13"/>
      <c r="F59" s="13"/>
      <c r="G59" s="13"/>
      <c r="H59" s="13"/>
      <c r="I59" s="13"/>
      <c r="J59" s="8" t="s">
        <v>1</v>
      </c>
    </row>
    <row r="60" spans="1:10" ht="13.5" customHeight="1" x14ac:dyDescent="0.25">
      <c r="D60" s="22"/>
      <c r="J60" s="22"/>
    </row>
    <row r="61" spans="1:10" ht="0.75" customHeight="1" x14ac:dyDescent="0.25">
      <c r="A61" s="1" t="s">
        <v>49</v>
      </c>
      <c r="C61" s="1">
        <f t="shared" ref="C61:J61" si="8">+C8/2</f>
        <v>59400</v>
      </c>
      <c r="D61" s="22">
        <f t="shared" si="8"/>
        <v>59600</v>
      </c>
      <c r="E61" s="1">
        <f t="shared" si="8"/>
        <v>55800</v>
      </c>
      <c r="F61" s="1">
        <f t="shared" si="8"/>
        <v>61000</v>
      </c>
      <c r="G61" s="1">
        <f>+G8/2-100</f>
        <v>54400</v>
      </c>
      <c r="H61" s="1">
        <f>+H8/2-100</f>
        <v>54800</v>
      </c>
      <c r="I61" s="1">
        <f>+I8/2</f>
        <v>54500</v>
      </c>
      <c r="J61" s="22">
        <f t="shared" si="8"/>
        <v>60000</v>
      </c>
    </row>
    <row r="62" spans="1:10" ht="1.5" customHeight="1" x14ac:dyDescent="0.25">
      <c r="A62" s="1" t="s">
        <v>50</v>
      </c>
      <c r="D62" s="22"/>
      <c r="H62" s="1">
        <v>45200</v>
      </c>
      <c r="I62" s="1">
        <v>34800</v>
      </c>
      <c r="J62" s="22">
        <v>45000</v>
      </c>
    </row>
    <row r="63" spans="1:10" ht="3" customHeight="1" x14ac:dyDescent="0.25">
      <c r="A63" s="1" t="s">
        <v>51</v>
      </c>
      <c r="C63" s="1">
        <v>15000</v>
      </c>
      <c r="D63" s="22">
        <v>15000</v>
      </c>
      <c r="E63" s="1">
        <v>15000</v>
      </c>
      <c r="F63" s="1">
        <v>15000</v>
      </c>
      <c r="G63" s="1">
        <v>15000</v>
      </c>
      <c r="H63" s="1">
        <v>15000</v>
      </c>
      <c r="I63" s="1">
        <v>15000</v>
      </c>
      <c r="J63" s="22">
        <v>15000</v>
      </c>
    </row>
    <row r="64" spans="1:10" ht="3" customHeight="1" x14ac:dyDescent="0.25">
      <c r="A64" s="13" t="s">
        <v>52</v>
      </c>
      <c r="C64" s="13">
        <f>+C61+C63</f>
        <v>74400</v>
      </c>
      <c r="D64" s="8">
        <f>+D61+D63</f>
        <v>74600</v>
      </c>
      <c r="E64" s="13">
        <f>+E61+E63</f>
        <v>70800</v>
      </c>
      <c r="F64" s="13">
        <f>+F61+F63</f>
        <v>76000</v>
      </c>
      <c r="G64" s="13">
        <f>+G61+G63</f>
        <v>69400</v>
      </c>
      <c r="H64" s="13">
        <f>+H61+H63+H62</f>
        <v>115000</v>
      </c>
      <c r="I64" s="13">
        <f>+I61+I63+I62</f>
        <v>104300</v>
      </c>
      <c r="J64" s="13">
        <f>+J61+J63+J62</f>
        <v>120000</v>
      </c>
    </row>
    <row r="65" spans="1:8" ht="6.75" customHeight="1" x14ac:dyDescent="0.25"/>
    <row r="66" spans="1:8" x14ac:dyDescent="0.25">
      <c r="A66" s="1" t="s">
        <v>79</v>
      </c>
      <c r="C66" s="1" t="s">
        <v>1</v>
      </c>
      <c r="D66" s="1" t="s">
        <v>1</v>
      </c>
      <c r="E66" s="1" t="s">
        <v>1</v>
      </c>
      <c r="F66" s="1" t="s">
        <v>80</v>
      </c>
      <c r="H66" s="1" t="s">
        <v>81</v>
      </c>
    </row>
    <row r="67" spans="1:8" x14ac:dyDescent="0.25">
      <c r="A67" s="1" t="s">
        <v>56</v>
      </c>
      <c r="C67" s="1" t="s">
        <v>1</v>
      </c>
      <c r="D67" s="1" t="s">
        <v>57</v>
      </c>
      <c r="E67" s="1" t="s">
        <v>1</v>
      </c>
      <c r="F67" s="1" t="s">
        <v>57</v>
      </c>
      <c r="H67" s="1" t="s">
        <v>58</v>
      </c>
    </row>
    <row r="68" spans="1:8" x14ac:dyDescent="0.25">
      <c r="A68" s="1" t="s">
        <v>1</v>
      </c>
      <c r="C68" s="1" t="s">
        <v>1</v>
      </c>
      <c r="D68" s="1" t="s">
        <v>1</v>
      </c>
      <c r="E68" s="1" t="s">
        <v>1</v>
      </c>
    </row>
  </sheetData>
  <sheetProtection selectLockedCells="1" selectUnlockedCells="1"/>
  <mergeCells count="1">
    <mergeCell ref="A1:J1"/>
  </mergeCells>
  <pageMargins left="0.35972222222222222" right="0.25" top="0.1701388888888889" bottom="0.4201388888888889" header="0.51180555555555551" footer="0.51180555555555551"/>
  <pageSetup paperSize="9" firstPageNumber="0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69"/>
  <sheetViews>
    <sheetView workbookViewId="0">
      <selection sqref="A1:K1"/>
    </sheetView>
  </sheetViews>
  <sheetFormatPr baseColWidth="10" defaultColWidth="11.453125" defaultRowHeight="11.5" x14ac:dyDescent="0.25"/>
  <cols>
    <col min="1" max="1" width="24.81640625" style="1" customWidth="1"/>
    <col min="2" max="2" width="5.1796875" style="1" customWidth="1"/>
    <col min="3" max="3" width="0.7265625" style="1" customWidth="1"/>
    <col min="4" max="4" width="0.54296875" style="1" customWidth="1"/>
    <col min="5" max="5" width="0.7265625" style="1" customWidth="1"/>
    <col min="6" max="6" width="1" style="1" customWidth="1"/>
    <col min="7" max="8" width="13.81640625" style="1" customWidth="1"/>
    <col min="9" max="9" width="11.7265625" style="1" customWidth="1"/>
    <col min="10" max="10" width="9.54296875" style="1" customWidth="1"/>
    <col min="11" max="11" width="9.7265625" style="1" customWidth="1"/>
    <col min="12" max="16384" width="11.453125" style="1"/>
  </cols>
  <sheetData>
    <row r="1" spans="1:11" s="2" customFormat="1" ht="17.5" x14ac:dyDescent="0.35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</row>
    <row r="3" spans="1:11" x14ac:dyDescent="0.25">
      <c r="D3" s="3" t="s">
        <v>1</v>
      </c>
    </row>
    <row r="4" spans="1:11" s="8" customFormat="1" x14ac:dyDescent="0.25">
      <c r="A4" s="4" t="s">
        <v>2</v>
      </c>
      <c r="B4" s="5"/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75</v>
      </c>
      <c r="J4" s="7">
        <v>40056</v>
      </c>
      <c r="K4" s="7" t="s">
        <v>76</v>
      </c>
    </row>
    <row r="5" spans="1:11" x14ac:dyDescent="0.25">
      <c r="C5" s="9"/>
      <c r="D5" s="10"/>
      <c r="E5" s="9"/>
      <c r="F5" s="9"/>
      <c r="G5" s="9"/>
      <c r="H5" s="9"/>
      <c r="I5" s="9"/>
      <c r="J5" s="9"/>
      <c r="K5" s="10"/>
    </row>
    <row r="6" spans="1:11" x14ac:dyDescent="0.25">
      <c r="A6" s="1" t="s">
        <v>10</v>
      </c>
      <c r="C6" s="11">
        <v>148800</v>
      </c>
      <c r="D6" s="12">
        <v>127200</v>
      </c>
      <c r="E6" s="11">
        <v>129600</v>
      </c>
      <c r="F6" s="11">
        <v>145400</v>
      </c>
      <c r="G6" s="11">
        <v>125600</v>
      </c>
      <c r="H6" s="11">
        <v>126200</v>
      </c>
      <c r="I6" s="11">
        <v>133800</v>
      </c>
      <c r="J6" s="11">
        <v>204300</v>
      </c>
      <c r="K6" s="12">
        <v>120000</v>
      </c>
    </row>
    <row r="7" spans="1:11" x14ac:dyDescent="0.25">
      <c r="A7" s="1" t="s">
        <v>11</v>
      </c>
      <c r="C7" s="11">
        <v>-30000</v>
      </c>
      <c r="D7" s="12">
        <f>-10600+2600</f>
        <v>-8000</v>
      </c>
      <c r="E7" s="11">
        <v>-18000</v>
      </c>
      <c r="F7" s="11">
        <v>-23400</v>
      </c>
      <c r="G7" s="11">
        <v>-16600</v>
      </c>
      <c r="H7" s="11">
        <v>-16400</v>
      </c>
      <c r="I7" s="11">
        <v>-24800</v>
      </c>
      <c r="J7" s="11">
        <v>-41950</v>
      </c>
      <c r="K7" s="12"/>
    </row>
    <row r="8" spans="1:11" x14ac:dyDescent="0.25">
      <c r="A8" s="13" t="s">
        <v>12</v>
      </c>
      <c r="C8" s="14">
        <f t="shared" ref="C8:K8" si="0">+C6+C7</f>
        <v>118800</v>
      </c>
      <c r="D8" s="15">
        <f t="shared" si="0"/>
        <v>119200</v>
      </c>
      <c r="E8" s="14">
        <f t="shared" si="0"/>
        <v>111600</v>
      </c>
      <c r="F8" s="14">
        <f t="shared" si="0"/>
        <v>122000</v>
      </c>
      <c r="G8" s="14">
        <f t="shared" si="0"/>
        <v>109000</v>
      </c>
      <c r="H8" s="14">
        <f t="shared" si="0"/>
        <v>109800</v>
      </c>
      <c r="I8" s="14">
        <f t="shared" si="0"/>
        <v>109000</v>
      </c>
      <c r="J8" s="14">
        <f t="shared" si="0"/>
        <v>162350</v>
      </c>
      <c r="K8" s="15">
        <f t="shared" si="0"/>
        <v>120000</v>
      </c>
    </row>
    <row r="9" spans="1:11" x14ac:dyDescent="0.25">
      <c r="A9" s="1" t="s">
        <v>13</v>
      </c>
      <c r="C9" s="11">
        <v>1400</v>
      </c>
      <c r="D9" s="12">
        <v>6800</v>
      </c>
      <c r="E9" s="11">
        <v>4400</v>
      </c>
      <c r="F9" s="11">
        <v>10000</v>
      </c>
      <c r="G9" s="11">
        <v>4000</v>
      </c>
      <c r="H9" s="11">
        <v>12000</v>
      </c>
      <c r="I9" s="11">
        <v>13200</v>
      </c>
      <c r="J9" s="11"/>
      <c r="K9" s="12"/>
    </row>
    <row r="10" spans="1:11" x14ac:dyDescent="0.25">
      <c r="A10" s="1" t="s">
        <v>14</v>
      </c>
      <c r="C10" s="11"/>
      <c r="D10" s="12"/>
      <c r="E10" s="11"/>
      <c r="F10" s="11"/>
      <c r="G10" s="11"/>
      <c r="H10" s="11">
        <v>50000</v>
      </c>
      <c r="I10" s="11">
        <v>40000</v>
      </c>
      <c r="J10" s="11">
        <v>40000</v>
      </c>
      <c r="K10" s="12">
        <v>40000</v>
      </c>
    </row>
    <row r="11" spans="1:11" x14ac:dyDescent="0.25">
      <c r="A11" s="1" t="s">
        <v>15</v>
      </c>
      <c r="C11" s="11">
        <v>2910</v>
      </c>
      <c r="D11" s="12">
        <v>2240</v>
      </c>
      <c r="E11" s="11">
        <v>700</v>
      </c>
      <c r="F11" s="11">
        <v>2200</v>
      </c>
      <c r="G11" s="11">
        <v>794</v>
      </c>
      <c r="H11" s="11">
        <v>1580</v>
      </c>
      <c r="I11" s="11">
        <v>2750</v>
      </c>
      <c r="J11" s="11">
        <v>6460</v>
      </c>
      <c r="K11" s="12">
        <v>3000</v>
      </c>
    </row>
    <row r="12" spans="1:11" x14ac:dyDescent="0.25">
      <c r="A12" s="1" t="s">
        <v>16</v>
      </c>
      <c r="C12" s="11">
        <v>5700</v>
      </c>
      <c r="D12" s="12">
        <v>0</v>
      </c>
      <c r="E12" s="11"/>
      <c r="F12" s="11"/>
      <c r="G12" s="11">
        <v>1315</v>
      </c>
      <c r="H12" s="11">
        <v>18750</v>
      </c>
      <c r="I12" s="11">
        <f>5406+14000</f>
        <v>19406</v>
      </c>
      <c r="J12" s="11">
        <v>23339</v>
      </c>
      <c r="K12" s="12">
        <v>25000</v>
      </c>
    </row>
    <row r="13" spans="1:11" s="13" customFormat="1" x14ac:dyDescent="0.25">
      <c r="A13" s="16" t="s">
        <v>17</v>
      </c>
      <c r="B13" s="17"/>
      <c r="C13" s="18">
        <f t="shared" ref="C13:K13" si="1">+SUM(C8:C12)</f>
        <v>128810</v>
      </c>
      <c r="D13" s="19">
        <f t="shared" si="1"/>
        <v>128240</v>
      </c>
      <c r="E13" s="18">
        <f t="shared" si="1"/>
        <v>116700</v>
      </c>
      <c r="F13" s="18">
        <f t="shared" si="1"/>
        <v>134200</v>
      </c>
      <c r="G13" s="18">
        <f t="shared" si="1"/>
        <v>115109</v>
      </c>
      <c r="H13" s="18">
        <f t="shared" si="1"/>
        <v>192130</v>
      </c>
      <c r="I13" s="18">
        <f t="shared" si="1"/>
        <v>184356</v>
      </c>
      <c r="J13" s="18">
        <f t="shared" si="1"/>
        <v>232149</v>
      </c>
      <c r="K13" s="19">
        <f t="shared" si="1"/>
        <v>188000</v>
      </c>
    </row>
    <row r="14" spans="1:11" x14ac:dyDescent="0.25">
      <c r="C14" s="11"/>
      <c r="D14" s="12"/>
      <c r="E14" s="11"/>
      <c r="F14" s="11"/>
      <c r="G14" s="11"/>
      <c r="H14" s="11"/>
      <c r="I14" s="11"/>
      <c r="J14" s="11"/>
      <c r="K14" s="12"/>
    </row>
    <row r="15" spans="1:11" x14ac:dyDescent="0.25">
      <c r="A15" s="1" t="s">
        <v>18</v>
      </c>
      <c r="C15" s="11">
        <v>74400</v>
      </c>
      <c r="D15" s="12">
        <f>73100+1500</f>
        <v>74600</v>
      </c>
      <c r="E15" s="11">
        <v>70800</v>
      </c>
      <c r="F15" s="11">
        <v>76000</v>
      </c>
      <c r="G15" s="11">
        <v>69400</v>
      </c>
      <c r="H15" s="11"/>
      <c r="I15" s="11">
        <v>0</v>
      </c>
      <c r="J15" s="11">
        <v>130000</v>
      </c>
      <c r="K15" s="12">
        <v>0</v>
      </c>
    </row>
    <row r="16" spans="1:11" x14ac:dyDescent="0.25">
      <c r="A16" s="1" t="s">
        <v>77</v>
      </c>
      <c r="C16" s="11"/>
      <c r="D16" s="12"/>
      <c r="E16" s="11"/>
      <c r="F16" s="11"/>
      <c r="G16" s="11"/>
      <c r="H16" s="11">
        <v>115000</v>
      </c>
      <c r="I16" s="11">
        <v>110000</v>
      </c>
      <c r="J16" s="11"/>
      <c r="K16" s="12">
        <v>125000</v>
      </c>
    </row>
    <row r="17" spans="1:11" x14ac:dyDescent="0.25">
      <c r="A17" s="1" t="s">
        <v>20</v>
      </c>
      <c r="C17" s="11">
        <v>5500</v>
      </c>
      <c r="D17" s="12">
        <v>7500</v>
      </c>
      <c r="E17" s="11">
        <v>7500</v>
      </c>
      <c r="F17" s="11">
        <v>7500</v>
      </c>
      <c r="G17" s="11">
        <v>7500</v>
      </c>
      <c r="H17" s="11"/>
      <c r="I17" s="11"/>
      <c r="J17" s="11"/>
      <c r="K17" s="12">
        <v>0</v>
      </c>
    </row>
    <row r="18" spans="1:11" x14ac:dyDescent="0.25">
      <c r="A18" s="1" t="s">
        <v>21</v>
      </c>
      <c r="C18" s="11">
        <v>2000</v>
      </c>
      <c r="D18" s="12">
        <v>3000</v>
      </c>
      <c r="E18" s="11">
        <v>3000</v>
      </c>
      <c r="F18" s="11">
        <v>3000</v>
      </c>
      <c r="G18" s="11">
        <v>3000</v>
      </c>
      <c r="H18" s="11"/>
      <c r="I18" s="11">
        <v>15000</v>
      </c>
      <c r="J18" s="11"/>
      <c r="K18" s="12">
        <v>10000</v>
      </c>
    </row>
    <row r="19" spans="1:11" x14ac:dyDescent="0.25">
      <c r="A19" s="1" t="s">
        <v>77</v>
      </c>
      <c r="C19" s="11"/>
      <c r="D19" s="12"/>
      <c r="E19" s="11"/>
      <c r="F19" s="11"/>
      <c r="G19" s="11"/>
      <c r="H19" s="11">
        <v>5000</v>
      </c>
      <c r="I19" s="11">
        <v>0</v>
      </c>
      <c r="J19" s="11"/>
      <c r="K19" s="12"/>
    </row>
    <row r="20" spans="1:11" x14ac:dyDescent="0.25">
      <c r="A20" s="1" t="s">
        <v>22</v>
      </c>
      <c r="C20" s="11">
        <v>2000</v>
      </c>
      <c r="D20" s="12">
        <v>3000</v>
      </c>
      <c r="E20" s="11">
        <v>3000</v>
      </c>
      <c r="F20" s="11">
        <v>3000</v>
      </c>
      <c r="G20" s="11">
        <v>3000</v>
      </c>
      <c r="H20" s="11"/>
      <c r="I20" s="11"/>
      <c r="J20" s="11"/>
      <c r="K20" s="12">
        <v>0</v>
      </c>
    </row>
    <row r="21" spans="1:11" x14ac:dyDescent="0.25">
      <c r="A21" s="1" t="s">
        <v>77</v>
      </c>
      <c r="C21" s="11"/>
      <c r="D21" s="12"/>
      <c r="E21" s="11"/>
      <c r="F21" s="11"/>
      <c r="G21" s="11"/>
      <c r="H21" s="11">
        <v>5000</v>
      </c>
      <c r="I21" s="11">
        <v>-5000</v>
      </c>
      <c r="J21" s="11"/>
      <c r="K21" s="12"/>
    </row>
    <row r="22" spans="1:11" x14ac:dyDescent="0.25">
      <c r="A22" s="1" t="s">
        <v>23</v>
      </c>
      <c r="C22" s="11"/>
      <c r="D22" s="12">
        <v>12000</v>
      </c>
      <c r="E22" s="11"/>
      <c r="F22" s="11"/>
      <c r="G22" s="11">
        <v>0</v>
      </c>
      <c r="H22" s="11"/>
      <c r="I22" s="11">
        <v>12324</v>
      </c>
      <c r="J22" s="11"/>
      <c r="K22" s="12">
        <v>0</v>
      </c>
    </row>
    <row r="23" spans="1:11" x14ac:dyDescent="0.25">
      <c r="A23" s="1" t="s">
        <v>78</v>
      </c>
      <c r="C23" s="11"/>
      <c r="D23" s="12"/>
      <c r="E23" s="11"/>
      <c r="F23" s="11"/>
      <c r="G23" s="11"/>
      <c r="H23" s="11"/>
      <c r="I23" s="11"/>
      <c r="J23" s="11" t="s">
        <v>1</v>
      </c>
      <c r="K23" s="12">
        <v>10000</v>
      </c>
    </row>
    <row r="24" spans="1:11" x14ac:dyDescent="0.25">
      <c r="A24" s="1" t="s">
        <v>24</v>
      </c>
      <c r="C24" s="11"/>
      <c r="D24" s="12"/>
      <c r="E24" s="11"/>
      <c r="F24" s="11">
        <v>9105</v>
      </c>
      <c r="G24" s="11">
        <v>0</v>
      </c>
      <c r="H24" s="11">
        <v>5962</v>
      </c>
      <c r="I24" s="11">
        <v>36162</v>
      </c>
      <c r="J24" s="11">
        <v>5204</v>
      </c>
      <c r="K24" s="12">
        <v>10000</v>
      </c>
    </row>
    <row r="25" spans="1:11" x14ac:dyDescent="0.25">
      <c r="A25" s="1" t="s">
        <v>25</v>
      </c>
      <c r="C25" s="11"/>
      <c r="D25" s="12">
        <v>999</v>
      </c>
      <c r="E25" s="11"/>
      <c r="F25" s="11">
        <v>0</v>
      </c>
      <c r="G25" s="11">
        <v>5291</v>
      </c>
      <c r="H25" s="11"/>
      <c r="I25" s="11">
        <v>10655</v>
      </c>
      <c r="J25" s="11"/>
      <c r="K25" s="12">
        <v>5000</v>
      </c>
    </row>
    <row r="26" spans="1:11" x14ac:dyDescent="0.25">
      <c r="A26" s="1" t="s">
        <v>26</v>
      </c>
      <c r="C26" s="11">
        <f>11227+4500</f>
        <v>15727</v>
      </c>
      <c r="D26" s="12">
        <v>8214</v>
      </c>
      <c r="E26" s="11">
        <v>7353</v>
      </c>
      <c r="F26" s="11">
        <v>7608</v>
      </c>
      <c r="G26" s="11">
        <v>6480</v>
      </c>
      <c r="H26" s="11">
        <f>6671+525</f>
        <v>7196</v>
      </c>
      <c r="I26" s="11">
        <v>2911</v>
      </c>
      <c r="J26" s="11"/>
      <c r="K26" s="12">
        <v>7000</v>
      </c>
    </row>
    <row r="27" spans="1:11" x14ac:dyDescent="0.25">
      <c r="A27" s="1" t="s">
        <v>27</v>
      </c>
      <c r="C27" s="11">
        <v>1950</v>
      </c>
      <c r="D27" s="12">
        <v>2475</v>
      </c>
      <c r="E27" s="11">
        <v>2475</v>
      </c>
      <c r="F27" s="11">
        <v>2750</v>
      </c>
      <c r="G27" s="11">
        <v>2750</v>
      </c>
      <c r="H27" s="11">
        <v>2802</v>
      </c>
      <c r="I27" s="11">
        <v>3800</v>
      </c>
      <c r="J27" s="11">
        <v>3800</v>
      </c>
      <c r="K27" s="12">
        <v>4000</v>
      </c>
    </row>
    <row r="28" spans="1:11" x14ac:dyDescent="0.25">
      <c r="A28" s="1" t="s">
        <v>28</v>
      </c>
      <c r="C28" s="11">
        <v>5020</v>
      </c>
      <c r="D28" s="12">
        <v>5586</v>
      </c>
      <c r="E28" s="11">
        <v>6158</v>
      </c>
      <c r="F28" s="11">
        <v>7228</v>
      </c>
      <c r="G28" s="11">
        <v>4578</v>
      </c>
      <c r="H28" s="11">
        <v>7116</v>
      </c>
      <c r="I28" s="11">
        <v>8935</v>
      </c>
      <c r="J28" s="11">
        <v>6650</v>
      </c>
      <c r="K28" s="12">
        <v>9000</v>
      </c>
    </row>
    <row r="29" spans="1:11" x14ac:dyDescent="0.25">
      <c r="A29" s="1" t="s">
        <v>29</v>
      </c>
      <c r="C29" s="11">
        <v>10086</v>
      </c>
      <c r="D29" s="12">
        <v>8076</v>
      </c>
      <c r="E29" s="11">
        <v>7488</v>
      </c>
      <c r="F29" s="11">
        <v>8365</v>
      </c>
      <c r="G29" s="11">
        <v>6990</v>
      </c>
      <c r="H29" s="11">
        <v>7460</v>
      </c>
      <c r="I29" s="11">
        <v>6500</v>
      </c>
      <c r="J29" s="11">
        <v>3860</v>
      </c>
      <c r="K29" s="12">
        <v>7500</v>
      </c>
    </row>
    <row r="30" spans="1:11" x14ac:dyDescent="0.25">
      <c r="A30" s="1" t="s">
        <v>82</v>
      </c>
      <c r="C30" s="11"/>
      <c r="D30" s="12"/>
      <c r="E30" s="11"/>
      <c r="F30" s="11"/>
      <c r="G30" s="11"/>
      <c r="H30" s="11"/>
      <c r="I30" s="11"/>
      <c r="J30" s="11">
        <v>5954</v>
      </c>
      <c r="K30" s="12"/>
    </row>
    <row r="31" spans="1:11" x14ac:dyDescent="0.25">
      <c r="A31" s="1" t="s">
        <v>30</v>
      </c>
      <c r="C31" s="11">
        <v>648</v>
      </c>
      <c r="D31" s="12">
        <v>605</v>
      </c>
      <c r="E31" s="11">
        <v>599</v>
      </c>
      <c r="F31" s="11">
        <v>608</v>
      </c>
      <c r="G31" s="11">
        <v>570</v>
      </c>
      <c r="H31" s="11">
        <v>585</v>
      </c>
      <c r="I31" s="11">
        <v>613</v>
      </c>
      <c r="J31" s="11">
        <v>1314</v>
      </c>
      <c r="K31" s="12">
        <v>800</v>
      </c>
    </row>
    <row r="32" spans="1:11" x14ac:dyDescent="0.25">
      <c r="A32" s="1" t="s">
        <v>31</v>
      </c>
      <c r="C32" s="11">
        <f>820+1000+1500</f>
        <v>3320</v>
      </c>
      <c r="D32" s="12">
        <v>14044</v>
      </c>
      <c r="E32" s="11">
        <v>7308</v>
      </c>
      <c r="F32" s="11">
        <v>4655</v>
      </c>
      <c r="G32" s="11">
        <v>7906</v>
      </c>
      <c r="H32" s="11">
        <v>2225</v>
      </c>
      <c r="I32" s="11">
        <v>5875</v>
      </c>
      <c r="J32" s="11">
        <v>4160</v>
      </c>
      <c r="K32" s="12">
        <v>5000</v>
      </c>
    </row>
    <row r="33" spans="1:11" x14ac:dyDescent="0.25">
      <c r="A33" s="1" t="s">
        <v>32</v>
      </c>
      <c r="C33" s="11"/>
      <c r="D33" s="12"/>
      <c r="E33" s="11"/>
      <c r="F33" s="11">
        <v>1772</v>
      </c>
      <c r="G33" s="11">
        <v>1397</v>
      </c>
      <c r="H33" s="11">
        <v>1398</v>
      </c>
      <c r="I33" s="11">
        <v>1698</v>
      </c>
      <c r="J33" s="11">
        <v>1697</v>
      </c>
      <c r="K33" s="12">
        <v>2000</v>
      </c>
    </row>
    <row r="34" spans="1:11" s="13" customFormat="1" x14ac:dyDescent="0.25">
      <c r="A34" s="16" t="s">
        <v>33</v>
      </c>
      <c r="B34" s="17"/>
      <c r="C34" s="18">
        <f t="shared" ref="C34:K34" si="2">+SUM(C15:C33)</f>
        <v>120651</v>
      </c>
      <c r="D34" s="19">
        <f t="shared" si="2"/>
        <v>140099</v>
      </c>
      <c r="E34" s="18">
        <f t="shared" si="2"/>
        <v>115681</v>
      </c>
      <c r="F34" s="18">
        <f t="shared" si="2"/>
        <v>131591</v>
      </c>
      <c r="G34" s="18">
        <f t="shared" si="2"/>
        <v>118862</v>
      </c>
      <c r="H34" s="18">
        <f t="shared" si="2"/>
        <v>159744</v>
      </c>
      <c r="I34" s="18">
        <f t="shared" si="2"/>
        <v>209473</v>
      </c>
      <c r="J34" s="18">
        <f t="shared" si="2"/>
        <v>162639</v>
      </c>
      <c r="K34" s="19">
        <f t="shared" si="2"/>
        <v>195300</v>
      </c>
    </row>
    <row r="35" spans="1:11" x14ac:dyDescent="0.25">
      <c r="C35" s="11"/>
      <c r="D35" s="12"/>
      <c r="E35" s="11"/>
      <c r="F35" s="11"/>
      <c r="G35" s="11"/>
      <c r="H35" s="11"/>
      <c r="I35" s="11"/>
      <c r="J35" s="11"/>
      <c r="K35" s="12"/>
    </row>
    <row r="36" spans="1:11" s="13" customFormat="1" x14ac:dyDescent="0.25">
      <c r="A36" s="13" t="s">
        <v>34</v>
      </c>
      <c r="C36" s="14">
        <f t="shared" ref="C36:K36" si="3">+C13-C34</f>
        <v>8159</v>
      </c>
      <c r="D36" s="15">
        <f t="shared" si="3"/>
        <v>-11859</v>
      </c>
      <c r="E36" s="14">
        <f t="shared" si="3"/>
        <v>1019</v>
      </c>
      <c r="F36" s="14">
        <f t="shared" si="3"/>
        <v>2609</v>
      </c>
      <c r="G36" s="14">
        <f t="shared" si="3"/>
        <v>-3753</v>
      </c>
      <c r="H36" s="14">
        <f t="shared" si="3"/>
        <v>32386</v>
      </c>
      <c r="I36" s="14">
        <f>+I13-I34</f>
        <v>-25117</v>
      </c>
      <c r="J36" s="14">
        <f>+J13-J34</f>
        <v>69510</v>
      </c>
      <c r="K36" s="15">
        <f t="shared" si="3"/>
        <v>-7300</v>
      </c>
    </row>
    <row r="37" spans="1:11" x14ac:dyDescent="0.25">
      <c r="C37" s="11"/>
      <c r="D37" s="12"/>
      <c r="E37" s="11"/>
      <c r="F37" s="11"/>
      <c r="G37" s="11"/>
      <c r="H37" s="11"/>
      <c r="I37" s="11"/>
      <c r="J37" s="11"/>
      <c r="K37" s="12"/>
    </row>
    <row r="38" spans="1:11" x14ac:dyDescent="0.25">
      <c r="A38" s="1" t="s">
        <v>35</v>
      </c>
      <c r="C38" s="11">
        <v>4389</v>
      </c>
      <c r="D38" s="12">
        <v>4690</v>
      </c>
      <c r="E38" s="11">
        <v>3644</v>
      </c>
      <c r="F38" s="11">
        <v>852</v>
      </c>
      <c r="G38" s="11">
        <v>860</v>
      </c>
      <c r="H38" s="11">
        <v>1730</v>
      </c>
      <c r="I38" s="11">
        <v>4328</v>
      </c>
      <c r="J38" s="11">
        <v>5725</v>
      </c>
      <c r="K38" s="12">
        <v>5000</v>
      </c>
    </row>
    <row r="39" spans="1:11" x14ac:dyDescent="0.25">
      <c r="C39" s="11"/>
      <c r="D39" s="12"/>
      <c r="E39" s="11"/>
      <c r="F39" s="11"/>
      <c r="G39" s="11"/>
      <c r="H39" s="11"/>
      <c r="I39" s="11"/>
      <c r="J39" s="11"/>
      <c r="K39" s="12"/>
    </row>
    <row r="40" spans="1:11" s="13" customFormat="1" ht="12" customHeight="1" x14ac:dyDescent="0.25">
      <c r="A40" s="16" t="s">
        <v>36</v>
      </c>
      <c r="B40" s="17"/>
      <c r="C40" s="18">
        <f t="shared" ref="C40:K40" si="4">+C36+C38</f>
        <v>12548</v>
      </c>
      <c r="D40" s="19">
        <f t="shared" si="4"/>
        <v>-7169</v>
      </c>
      <c r="E40" s="18">
        <f t="shared" si="4"/>
        <v>4663</v>
      </c>
      <c r="F40" s="18">
        <f t="shared" si="4"/>
        <v>3461</v>
      </c>
      <c r="G40" s="18">
        <f t="shared" si="4"/>
        <v>-2893</v>
      </c>
      <c r="H40" s="18">
        <f t="shared" si="4"/>
        <v>34116</v>
      </c>
      <c r="I40" s="18">
        <f>+I36+I38</f>
        <v>-20789</v>
      </c>
      <c r="J40" s="18">
        <f>+J36+J38</f>
        <v>75235</v>
      </c>
      <c r="K40" s="19">
        <f t="shared" si="4"/>
        <v>-2300</v>
      </c>
    </row>
    <row r="41" spans="1:11" x14ac:dyDescent="0.25">
      <c r="C41" s="11"/>
      <c r="D41" s="12"/>
      <c r="E41" s="11"/>
      <c r="F41" s="11"/>
      <c r="G41" s="11"/>
      <c r="H41" s="11"/>
      <c r="I41" s="11"/>
      <c r="J41" s="11"/>
      <c r="K41" s="12"/>
    </row>
    <row r="42" spans="1:11" x14ac:dyDescent="0.25">
      <c r="A42" s="13" t="s">
        <v>37</v>
      </c>
      <c r="C42" s="11"/>
      <c r="D42" s="12"/>
      <c r="E42" s="11"/>
      <c r="F42" s="11"/>
      <c r="G42" s="11"/>
      <c r="H42" s="11"/>
      <c r="I42" s="11"/>
      <c r="J42" s="11"/>
      <c r="K42" s="12"/>
    </row>
    <row r="43" spans="1:11" x14ac:dyDescent="0.25">
      <c r="C43" s="11"/>
      <c r="D43" s="12"/>
      <c r="E43" s="11"/>
      <c r="F43" s="11"/>
      <c r="G43" s="11"/>
      <c r="H43" s="11"/>
      <c r="I43" s="11"/>
      <c r="J43" s="11"/>
      <c r="K43" s="12"/>
    </row>
    <row r="44" spans="1:11" x14ac:dyDescent="0.25">
      <c r="A44" s="1" t="s">
        <v>38</v>
      </c>
      <c r="C44" s="11">
        <v>0</v>
      </c>
      <c r="D44" s="12">
        <v>2600</v>
      </c>
      <c r="E44" s="11">
        <v>400</v>
      </c>
      <c r="F44" s="11">
        <v>0</v>
      </c>
      <c r="G44" s="11">
        <v>0</v>
      </c>
      <c r="H44" s="11">
        <v>0</v>
      </c>
      <c r="I44" s="11">
        <v>0</v>
      </c>
      <c r="J44" s="11"/>
      <c r="K44" s="12">
        <v>0</v>
      </c>
    </row>
    <row r="45" spans="1:11" x14ac:dyDescent="0.25">
      <c r="A45" s="1" t="s">
        <v>39</v>
      </c>
      <c r="C45" s="11"/>
      <c r="D45" s="12">
        <v>10606</v>
      </c>
      <c r="E45" s="11">
        <v>0</v>
      </c>
      <c r="F45" s="11">
        <v>0</v>
      </c>
      <c r="G45" s="11">
        <v>0</v>
      </c>
      <c r="H45" s="11">
        <v>18750</v>
      </c>
      <c r="I45" s="11">
        <v>0</v>
      </c>
      <c r="J45" s="11"/>
      <c r="K45" s="12">
        <v>0</v>
      </c>
    </row>
    <row r="46" spans="1:11" x14ac:dyDescent="0.25">
      <c r="A46" s="1" t="s">
        <v>40</v>
      </c>
      <c r="C46" s="11">
        <f>50639+51541</f>
        <v>102180</v>
      </c>
      <c r="D46" s="12">
        <f>10599+68906</f>
        <v>79505</v>
      </c>
      <c r="E46" s="11">
        <v>96973</v>
      </c>
      <c r="F46" s="11">
        <v>99534</v>
      </c>
      <c r="G46" s="11">
        <v>94941</v>
      </c>
      <c r="H46" s="11">
        <v>235832</v>
      </c>
      <c r="I46" s="11">
        <v>238268</v>
      </c>
      <c r="J46" s="11">
        <v>180503</v>
      </c>
      <c r="K46" s="12">
        <f>+K58-K44-K45</f>
        <v>242968</v>
      </c>
    </row>
    <row r="47" spans="1:11" x14ac:dyDescent="0.25">
      <c r="C47" s="11"/>
      <c r="D47" s="12"/>
      <c r="E47" s="11"/>
      <c r="F47" s="11"/>
      <c r="G47" s="11"/>
      <c r="H47" s="11"/>
      <c r="I47" s="11"/>
      <c r="J47" s="11"/>
      <c r="K47" s="12"/>
    </row>
    <row r="48" spans="1:11" s="13" customFormat="1" x14ac:dyDescent="0.25">
      <c r="A48" s="16" t="s">
        <v>41</v>
      </c>
      <c r="B48" s="17"/>
      <c r="C48" s="18">
        <f t="shared" ref="C48:J48" si="5">+SUM(C44:C47)</f>
        <v>102180</v>
      </c>
      <c r="D48" s="19">
        <f t="shared" si="5"/>
        <v>92711</v>
      </c>
      <c r="E48" s="18">
        <f t="shared" si="5"/>
        <v>97373</v>
      </c>
      <c r="F48" s="18">
        <f t="shared" si="5"/>
        <v>99534</v>
      </c>
      <c r="G48" s="18">
        <f t="shared" si="5"/>
        <v>94941</v>
      </c>
      <c r="H48" s="18">
        <f t="shared" si="5"/>
        <v>254582</v>
      </c>
      <c r="I48" s="18">
        <f t="shared" si="5"/>
        <v>238268</v>
      </c>
      <c r="J48" s="18">
        <f t="shared" si="5"/>
        <v>180503</v>
      </c>
      <c r="K48" s="19">
        <f>+K44+K46</f>
        <v>242968</v>
      </c>
    </row>
    <row r="49" spans="1:11" x14ac:dyDescent="0.25">
      <c r="C49" s="11"/>
      <c r="D49" s="12"/>
      <c r="E49" s="11"/>
      <c r="F49" s="11"/>
      <c r="G49" s="11"/>
      <c r="H49" s="11"/>
      <c r="I49" s="11"/>
      <c r="J49" s="11"/>
      <c r="K49" s="12"/>
    </row>
    <row r="50" spans="1:11" x14ac:dyDescent="0.25">
      <c r="A50" s="1" t="s">
        <v>42</v>
      </c>
      <c r="C50" s="11">
        <f>6000+2300</f>
        <v>8300</v>
      </c>
      <c r="D50" s="12">
        <f>4500+1500</f>
        <v>6000</v>
      </c>
      <c r="E50" s="11">
        <v>6000</v>
      </c>
      <c r="F50" s="11">
        <v>4700</v>
      </c>
      <c r="G50" s="11">
        <v>3000</v>
      </c>
      <c r="H50" s="11">
        <v>3525</v>
      </c>
      <c r="I50" s="11">
        <v>8000</v>
      </c>
      <c r="J50" s="11"/>
      <c r="K50" s="12">
        <v>5000</v>
      </c>
    </row>
    <row r="51" spans="1:11" x14ac:dyDescent="0.25">
      <c r="A51" s="1" t="s">
        <v>43</v>
      </c>
      <c r="C51" s="11"/>
      <c r="D51" s="12"/>
      <c r="E51" s="11"/>
      <c r="F51" s="11"/>
      <c r="G51" s="11"/>
      <c r="H51" s="11">
        <v>125000</v>
      </c>
      <c r="I51" s="11">
        <v>125000</v>
      </c>
      <c r="J51" s="11"/>
      <c r="K51" s="12">
        <v>135000</v>
      </c>
    </row>
    <row r="52" spans="1:11" x14ac:dyDescent="0.25">
      <c r="C52" s="11"/>
      <c r="D52" s="12"/>
      <c r="E52" s="11"/>
      <c r="F52" s="11"/>
      <c r="G52" s="11"/>
      <c r="H52" s="11"/>
      <c r="I52" s="11"/>
      <c r="J52" s="11"/>
      <c r="K52" s="12"/>
    </row>
    <row r="53" spans="1:11" x14ac:dyDescent="0.25">
      <c r="C53" s="11"/>
      <c r="D53" s="12"/>
      <c r="E53" s="11"/>
      <c r="F53" s="11"/>
      <c r="G53" s="11"/>
      <c r="H53" s="11"/>
      <c r="I53" s="11"/>
      <c r="J53" s="11"/>
      <c r="K53" s="12"/>
    </row>
    <row r="54" spans="1:11" x14ac:dyDescent="0.25">
      <c r="A54" s="13" t="s">
        <v>44</v>
      </c>
      <c r="C54" s="11">
        <v>81332</v>
      </c>
      <c r="D54" s="12">
        <v>93880</v>
      </c>
      <c r="E54" s="11">
        <f>+D56</f>
        <v>86711</v>
      </c>
      <c r="F54" s="11">
        <f>+E56-1</f>
        <v>91373</v>
      </c>
      <c r="G54" s="11">
        <f>+F56</f>
        <v>94834</v>
      </c>
      <c r="H54" s="11">
        <f>+G56</f>
        <v>91941</v>
      </c>
      <c r="I54" s="11">
        <f>+H56</f>
        <v>126057</v>
      </c>
      <c r="J54" s="11">
        <f>+I56</f>
        <v>105268</v>
      </c>
      <c r="K54" s="11">
        <f>+I56</f>
        <v>105268</v>
      </c>
    </row>
    <row r="55" spans="1:11" x14ac:dyDescent="0.25">
      <c r="A55" s="1" t="s">
        <v>45</v>
      </c>
      <c r="C55" s="11">
        <f t="shared" ref="C55:K55" si="6">+C40</f>
        <v>12548</v>
      </c>
      <c r="D55" s="12">
        <f t="shared" si="6"/>
        <v>-7169</v>
      </c>
      <c r="E55" s="11">
        <f t="shared" si="6"/>
        <v>4663</v>
      </c>
      <c r="F55" s="11">
        <f t="shared" si="6"/>
        <v>3461</v>
      </c>
      <c r="G55" s="11">
        <f t="shared" si="6"/>
        <v>-2893</v>
      </c>
      <c r="H55" s="11">
        <f>+H40</f>
        <v>34116</v>
      </c>
      <c r="I55" s="11">
        <f>+I40</f>
        <v>-20789</v>
      </c>
      <c r="J55" s="11">
        <f>+J40</f>
        <v>75235</v>
      </c>
      <c r="K55" s="12">
        <f t="shared" si="6"/>
        <v>-2300</v>
      </c>
    </row>
    <row r="56" spans="1:11" x14ac:dyDescent="0.25">
      <c r="A56" s="1" t="s">
        <v>46</v>
      </c>
      <c r="C56" s="11">
        <f t="shared" ref="C56:K56" si="7">+C54+C55</f>
        <v>93880</v>
      </c>
      <c r="D56" s="12">
        <f t="shared" si="7"/>
        <v>86711</v>
      </c>
      <c r="E56" s="11">
        <f t="shared" si="7"/>
        <v>91374</v>
      </c>
      <c r="F56" s="11">
        <f t="shared" si="7"/>
        <v>94834</v>
      </c>
      <c r="G56" s="11">
        <f t="shared" si="7"/>
        <v>91941</v>
      </c>
      <c r="H56" s="11">
        <f t="shared" si="7"/>
        <v>126057</v>
      </c>
      <c r="I56" s="11">
        <f t="shared" si="7"/>
        <v>105268</v>
      </c>
      <c r="J56" s="11">
        <f t="shared" si="7"/>
        <v>180503</v>
      </c>
      <c r="K56" s="12">
        <f t="shared" si="7"/>
        <v>102968</v>
      </c>
    </row>
    <row r="57" spans="1:11" x14ac:dyDescent="0.25">
      <c r="C57" s="20"/>
      <c r="D57" s="21"/>
      <c r="E57" s="20"/>
      <c r="F57" s="20"/>
      <c r="G57" s="20"/>
      <c r="H57" s="20"/>
      <c r="I57" s="20"/>
      <c r="J57" s="20"/>
      <c r="K57" s="21"/>
    </row>
    <row r="58" spans="1:11" s="13" customFormat="1" x14ac:dyDescent="0.25">
      <c r="A58" s="16" t="s">
        <v>47</v>
      </c>
      <c r="B58" s="17"/>
      <c r="C58" s="18">
        <f>+C50+C56</f>
        <v>102180</v>
      </c>
      <c r="D58" s="19">
        <f>+D50+D56</f>
        <v>92711</v>
      </c>
      <c r="E58" s="18">
        <f>+E50+E56</f>
        <v>97374</v>
      </c>
      <c r="F58" s="18">
        <f>+F50+F56</f>
        <v>99534</v>
      </c>
      <c r="G58" s="18">
        <f>+G50+G56</f>
        <v>94941</v>
      </c>
      <c r="H58" s="18">
        <f>+H50+H51+H56</f>
        <v>254582</v>
      </c>
      <c r="I58" s="18">
        <f>+I50+I51+I56</f>
        <v>238268</v>
      </c>
      <c r="J58" s="18">
        <f>+J50+J51+J56</f>
        <v>180503</v>
      </c>
      <c r="K58" s="19">
        <f>+K50+K51+K56</f>
        <v>242968</v>
      </c>
    </row>
    <row r="59" spans="1:11" x14ac:dyDescent="0.25">
      <c r="D59" s="22"/>
      <c r="K59" s="22"/>
    </row>
    <row r="60" spans="1:11" x14ac:dyDescent="0.25">
      <c r="A60" s="23" t="s">
        <v>1</v>
      </c>
      <c r="C60" s="13" t="s">
        <v>1</v>
      </c>
      <c r="D60" s="8" t="s">
        <v>1</v>
      </c>
      <c r="E60" s="13"/>
      <c r="F60" s="13"/>
      <c r="G60" s="13"/>
      <c r="H60" s="13"/>
      <c r="I60" s="13"/>
      <c r="J60" s="13"/>
      <c r="K60" s="8" t="s">
        <v>1</v>
      </c>
    </row>
    <row r="61" spans="1:11" ht="13.5" customHeight="1" x14ac:dyDescent="0.25">
      <c r="D61" s="22"/>
      <c r="K61" s="22"/>
    </row>
    <row r="62" spans="1:11" ht="0.75" customHeight="1" x14ac:dyDescent="0.25">
      <c r="A62" s="1" t="s">
        <v>49</v>
      </c>
      <c r="C62" s="1">
        <f t="shared" ref="C62:K62" si="8">+C8/2</f>
        <v>59400</v>
      </c>
      <c r="D62" s="22">
        <f t="shared" si="8"/>
        <v>59600</v>
      </c>
      <c r="E62" s="1">
        <f t="shared" si="8"/>
        <v>55800</v>
      </c>
      <c r="F62" s="1">
        <f t="shared" si="8"/>
        <v>61000</v>
      </c>
      <c r="G62" s="1">
        <f>+G8/2-100</f>
        <v>54400</v>
      </c>
      <c r="H62" s="1">
        <f>+H8/2-100</f>
        <v>54800</v>
      </c>
      <c r="I62" s="1">
        <f>+I8/2</f>
        <v>54500</v>
      </c>
      <c r="K62" s="22">
        <f t="shared" si="8"/>
        <v>60000</v>
      </c>
    </row>
    <row r="63" spans="1:11" ht="1.5" customHeight="1" x14ac:dyDescent="0.25">
      <c r="A63" s="1" t="s">
        <v>50</v>
      </c>
      <c r="D63" s="22"/>
      <c r="H63" s="1">
        <v>45200</v>
      </c>
      <c r="I63" s="1">
        <v>34800</v>
      </c>
      <c r="K63" s="22">
        <v>45000</v>
      </c>
    </row>
    <row r="64" spans="1:11" ht="3" customHeight="1" x14ac:dyDescent="0.25">
      <c r="A64" s="1" t="s">
        <v>51</v>
      </c>
      <c r="C64" s="1">
        <v>15000</v>
      </c>
      <c r="D64" s="22">
        <v>15000</v>
      </c>
      <c r="E64" s="1">
        <v>15000</v>
      </c>
      <c r="F64" s="1">
        <v>15000</v>
      </c>
      <c r="G64" s="1">
        <v>15000</v>
      </c>
      <c r="H64" s="1">
        <v>15000</v>
      </c>
      <c r="I64" s="1">
        <v>15000</v>
      </c>
      <c r="K64" s="22">
        <v>15000</v>
      </c>
    </row>
    <row r="65" spans="1:11" ht="3" customHeight="1" x14ac:dyDescent="0.25">
      <c r="A65" s="13" t="s">
        <v>52</v>
      </c>
      <c r="C65" s="13">
        <f>+C62+C64</f>
        <v>74400</v>
      </c>
      <c r="D65" s="8">
        <f>+D62+D64</f>
        <v>74600</v>
      </c>
      <c r="E65" s="13">
        <f>+E62+E64</f>
        <v>70800</v>
      </c>
      <c r="F65" s="13">
        <f>+F62+F64</f>
        <v>76000</v>
      </c>
      <c r="G65" s="13">
        <f>+G62+G64</f>
        <v>69400</v>
      </c>
      <c r="H65" s="13">
        <f>+H62+H64+H63</f>
        <v>115000</v>
      </c>
      <c r="I65" s="13">
        <f>+I62+I64+I63</f>
        <v>104300</v>
      </c>
      <c r="J65" s="13"/>
      <c r="K65" s="13">
        <f>+K62+K64+K63</f>
        <v>120000</v>
      </c>
    </row>
    <row r="66" spans="1:11" ht="6.75" customHeight="1" x14ac:dyDescent="0.25"/>
    <row r="67" spans="1:11" x14ac:dyDescent="0.25">
      <c r="A67" s="1" t="s">
        <v>79</v>
      </c>
      <c r="C67" s="1" t="s">
        <v>1</v>
      </c>
      <c r="D67" s="1" t="s">
        <v>1</v>
      </c>
      <c r="E67" s="1" t="s">
        <v>1</v>
      </c>
      <c r="F67" s="1" t="s">
        <v>80</v>
      </c>
      <c r="H67" s="1" t="s">
        <v>81</v>
      </c>
    </row>
    <row r="68" spans="1:11" x14ac:dyDescent="0.25">
      <c r="A68" s="1" t="s">
        <v>56</v>
      </c>
      <c r="C68" s="1" t="s">
        <v>1</v>
      </c>
      <c r="D68" s="1" t="s">
        <v>57</v>
      </c>
      <c r="E68" s="1" t="s">
        <v>1</v>
      </c>
      <c r="F68" s="1" t="s">
        <v>57</v>
      </c>
      <c r="H68" s="1" t="s">
        <v>58</v>
      </c>
    </row>
    <row r="69" spans="1:11" x14ac:dyDescent="0.25">
      <c r="A69" s="1" t="s">
        <v>1</v>
      </c>
      <c r="C69" s="1" t="s">
        <v>1</v>
      </c>
      <c r="D69" s="1" t="s">
        <v>1</v>
      </c>
      <c r="E69" s="1" t="s">
        <v>1</v>
      </c>
    </row>
  </sheetData>
  <sheetProtection selectLockedCells="1" selectUnlockedCells="1"/>
  <mergeCells count="1">
    <mergeCell ref="A1:K1"/>
  </mergeCells>
  <printOptions gridLines="1"/>
  <pageMargins left="0.75" right="0.25" top="1" bottom="1" header="0.51180555555555551" footer="0.51180555555555551"/>
  <pageSetup paperSize="9" firstPageNumber="0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68"/>
  <sheetViews>
    <sheetView workbookViewId="0">
      <selection sqref="A1:L1"/>
    </sheetView>
  </sheetViews>
  <sheetFormatPr baseColWidth="10" defaultColWidth="11.453125" defaultRowHeight="11.5" x14ac:dyDescent="0.25"/>
  <cols>
    <col min="1" max="1" width="24.81640625" style="1" customWidth="1"/>
    <col min="2" max="2" width="5.1796875" style="1" customWidth="1"/>
    <col min="3" max="3" width="0.7265625" style="1" customWidth="1"/>
    <col min="4" max="4" width="0.54296875" style="1" customWidth="1"/>
    <col min="5" max="5" width="0.7265625" style="1" customWidth="1"/>
    <col min="6" max="6" width="1" style="1" customWidth="1"/>
    <col min="7" max="7" width="0.7265625" style="1" customWidth="1"/>
    <col min="8" max="8" width="13.81640625" style="1" customWidth="1"/>
    <col min="9" max="9" width="11.7265625" style="1" customWidth="1"/>
    <col min="10" max="11" width="9.54296875" style="1" customWidth="1"/>
    <col min="12" max="12" width="9.7265625" style="1" customWidth="1"/>
    <col min="13" max="16384" width="11.453125" style="1"/>
  </cols>
  <sheetData>
    <row r="1" spans="1:12" s="2" customFormat="1" ht="17.5" x14ac:dyDescent="0.35">
      <c r="A1" s="86" t="s">
        <v>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</row>
    <row r="3" spans="1:12" x14ac:dyDescent="0.25">
      <c r="D3" s="3" t="s">
        <v>1</v>
      </c>
    </row>
    <row r="4" spans="1:12" s="8" customFormat="1" x14ac:dyDescent="0.25">
      <c r="A4" s="4" t="s">
        <v>2</v>
      </c>
      <c r="B4" s="5"/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75</v>
      </c>
      <c r="J4" s="7">
        <v>40178</v>
      </c>
      <c r="K4" s="7">
        <v>40451</v>
      </c>
      <c r="L4" s="7" t="s">
        <v>83</v>
      </c>
    </row>
    <row r="5" spans="1:12" x14ac:dyDescent="0.25">
      <c r="C5" s="9"/>
      <c r="D5" s="10"/>
      <c r="E5" s="9"/>
      <c r="F5" s="9"/>
      <c r="G5" s="9"/>
      <c r="H5" s="9"/>
      <c r="I5" s="9"/>
      <c r="J5" s="9"/>
      <c r="K5" s="9"/>
      <c r="L5" s="10"/>
    </row>
    <row r="6" spans="1:12" x14ac:dyDescent="0.25">
      <c r="A6" s="1" t="s">
        <v>10</v>
      </c>
      <c r="C6" s="11">
        <v>148800</v>
      </c>
      <c r="D6" s="12">
        <v>127200</v>
      </c>
      <c r="E6" s="11">
        <v>129600</v>
      </c>
      <c r="F6" s="11">
        <v>145400</v>
      </c>
      <c r="G6" s="11">
        <v>125600</v>
      </c>
      <c r="H6" s="11">
        <v>126200</v>
      </c>
      <c r="I6" s="11">
        <v>133800</v>
      </c>
      <c r="J6" s="11">
        <v>204300</v>
      </c>
      <c r="K6" s="11">
        <v>200700</v>
      </c>
      <c r="L6" s="12">
        <v>200000</v>
      </c>
    </row>
    <row r="7" spans="1:12" x14ac:dyDescent="0.25">
      <c r="A7" s="1" t="s">
        <v>11</v>
      </c>
      <c r="C7" s="11">
        <v>-30000</v>
      </c>
      <c r="D7" s="12">
        <f>-10600+2600</f>
        <v>-8000</v>
      </c>
      <c r="E7" s="11">
        <v>-18000</v>
      </c>
      <c r="F7" s="11">
        <v>-23400</v>
      </c>
      <c r="G7" s="11">
        <v>-16600</v>
      </c>
      <c r="H7" s="11">
        <v>-16400</v>
      </c>
      <c r="I7" s="11">
        <v>-24800</v>
      </c>
      <c r="J7" s="11">
        <v>-4550</v>
      </c>
      <c r="K7" s="11"/>
      <c r="L7" s="12"/>
    </row>
    <row r="8" spans="1:12" x14ac:dyDescent="0.25">
      <c r="A8" s="13" t="s">
        <v>12</v>
      </c>
      <c r="C8" s="14">
        <f t="shared" ref="C8:L8" si="0">+C6+C7</f>
        <v>118800</v>
      </c>
      <c r="D8" s="15">
        <f t="shared" si="0"/>
        <v>119200</v>
      </c>
      <c r="E8" s="14">
        <f t="shared" si="0"/>
        <v>111600</v>
      </c>
      <c r="F8" s="14">
        <f t="shared" si="0"/>
        <v>122000</v>
      </c>
      <c r="G8" s="14">
        <f t="shared" si="0"/>
        <v>109000</v>
      </c>
      <c r="H8" s="14">
        <f t="shared" si="0"/>
        <v>109800</v>
      </c>
      <c r="I8" s="14">
        <f t="shared" si="0"/>
        <v>109000</v>
      </c>
      <c r="J8" s="14">
        <f t="shared" si="0"/>
        <v>199750</v>
      </c>
      <c r="K8" s="14">
        <f t="shared" si="0"/>
        <v>200700</v>
      </c>
      <c r="L8" s="15">
        <f t="shared" si="0"/>
        <v>200000</v>
      </c>
    </row>
    <row r="9" spans="1:12" x14ac:dyDescent="0.25">
      <c r="A9" s="1" t="s">
        <v>13</v>
      </c>
      <c r="C9" s="11">
        <v>1400</v>
      </c>
      <c r="D9" s="12">
        <v>6800</v>
      </c>
      <c r="E9" s="11">
        <v>4400</v>
      </c>
      <c r="F9" s="11">
        <v>10000</v>
      </c>
      <c r="G9" s="11">
        <v>4000</v>
      </c>
      <c r="H9" s="11">
        <v>12000</v>
      </c>
      <c r="I9" s="11">
        <v>13200</v>
      </c>
      <c r="J9" s="11"/>
      <c r="K9" s="11">
        <v>1600</v>
      </c>
      <c r="L9" s="12"/>
    </row>
    <row r="10" spans="1:12" x14ac:dyDescent="0.25">
      <c r="A10" s="1" t="s">
        <v>14</v>
      </c>
      <c r="C10" s="11"/>
      <c r="D10" s="12"/>
      <c r="E10" s="11"/>
      <c r="F10" s="11"/>
      <c r="G10" s="11"/>
      <c r="H10" s="11">
        <v>50000</v>
      </c>
      <c r="I10" s="11">
        <v>40000</v>
      </c>
      <c r="J10" s="11">
        <v>40000</v>
      </c>
      <c r="K10" s="11">
        <v>40000</v>
      </c>
      <c r="L10" s="12">
        <v>40000</v>
      </c>
    </row>
    <row r="11" spans="1:12" x14ac:dyDescent="0.25">
      <c r="A11" s="1" t="s">
        <v>15</v>
      </c>
      <c r="C11" s="11">
        <v>2910</v>
      </c>
      <c r="D11" s="12">
        <v>2240</v>
      </c>
      <c r="E11" s="11">
        <v>700</v>
      </c>
      <c r="F11" s="11">
        <v>2200</v>
      </c>
      <c r="G11" s="11">
        <v>794</v>
      </c>
      <c r="H11" s="11">
        <v>1580</v>
      </c>
      <c r="I11" s="11">
        <v>2750</v>
      </c>
      <c r="J11" s="11">
        <v>6460</v>
      </c>
      <c r="K11" s="11">
        <v>5550</v>
      </c>
      <c r="L11" s="12">
        <v>6000</v>
      </c>
    </row>
    <row r="12" spans="1:12" x14ac:dyDescent="0.25">
      <c r="A12" s="1" t="s">
        <v>16</v>
      </c>
      <c r="C12" s="11">
        <v>5700</v>
      </c>
      <c r="D12" s="12">
        <v>0</v>
      </c>
      <c r="E12" s="11"/>
      <c r="F12" s="11"/>
      <c r="G12" s="11">
        <v>1315</v>
      </c>
      <c r="H12" s="11">
        <v>18750</v>
      </c>
      <c r="I12" s="11">
        <f>5406+14000</f>
        <v>19406</v>
      </c>
      <c r="J12" s="11">
        <v>23339</v>
      </c>
      <c r="K12" s="11">
        <v>213824</v>
      </c>
      <c r="L12" s="12">
        <v>25000</v>
      </c>
    </row>
    <row r="13" spans="1:12" s="13" customFormat="1" x14ac:dyDescent="0.25">
      <c r="A13" s="16" t="s">
        <v>17</v>
      </c>
      <c r="B13" s="17"/>
      <c r="C13" s="18">
        <f t="shared" ref="C13:L13" si="1">+SUM(C8:C12)</f>
        <v>128810</v>
      </c>
      <c r="D13" s="19">
        <f t="shared" si="1"/>
        <v>128240</v>
      </c>
      <c r="E13" s="18">
        <f t="shared" si="1"/>
        <v>116700</v>
      </c>
      <c r="F13" s="18">
        <f t="shared" si="1"/>
        <v>134200</v>
      </c>
      <c r="G13" s="18">
        <f t="shared" si="1"/>
        <v>115109</v>
      </c>
      <c r="H13" s="18">
        <f t="shared" si="1"/>
        <v>192130</v>
      </c>
      <c r="I13" s="18">
        <f t="shared" si="1"/>
        <v>184356</v>
      </c>
      <c r="J13" s="18">
        <f t="shared" si="1"/>
        <v>269549</v>
      </c>
      <c r="K13" s="18">
        <f t="shared" si="1"/>
        <v>461674</v>
      </c>
      <c r="L13" s="19">
        <f t="shared" si="1"/>
        <v>271000</v>
      </c>
    </row>
    <row r="14" spans="1:12" x14ac:dyDescent="0.25">
      <c r="C14" s="11"/>
      <c r="D14" s="12"/>
      <c r="E14" s="11"/>
      <c r="F14" s="11"/>
      <c r="G14" s="11"/>
      <c r="H14" s="11"/>
      <c r="I14" s="11"/>
      <c r="J14" s="11"/>
      <c r="K14" s="11"/>
      <c r="L14" s="12"/>
    </row>
    <row r="15" spans="1:12" x14ac:dyDescent="0.25">
      <c r="A15" s="1" t="s">
        <v>18</v>
      </c>
      <c r="C15" s="11">
        <v>74400</v>
      </c>
      <c r="D15" s="12">
        <f>73100+1500</f>
        <v>74600</v>
      </c>
      <c r="E15" s="11">
        <v>70800</v>
      </c>
      <c r="F15" s="11">
        <v>76000</v>
      </c>
      <c r="G15" s="11">
        <v>69400</v>
      </c>
      <c r="H15" s="11"/>
      <c r="I15" s="11">
        <v>0</v>
      </c>
      <c r="J15" s="11">
        <v>130000</v>
      </c>
      <c r="K15" s="11"/>
      <c r="L15" s="12">
        <v>0</v>
      </c>
    </row>
    <row r="16" spans="1:12" x14ac:dyDescent="0.25">
      <c r="A16" s="1" t="s">
        <v>77</v>
      </c>
      <c r="C16" s="11"/>
      <c r="D16" s="12"/>
      <c r="E16" s="11"/>
      <c r="F16" s="11"/>
      <c r="G16" s="11"/>
      <c r="H16" s="11">
        <v>115000</v>
      </c>
      <c r="I16" s="11">
        <v>110000</v>
      </c>
      <c r="J16" s="11">
        <v>55000</v>
      </c>
      <c r="K16" s="11"/>
      <c r="L16" s="12">
        <v>180000</v>
      </c>
    </row>
    <row r="17" spans="1:12" x14ac:dyDescent="0.25">
      <c r="A17" s="1" t="s">
        <v>21</v>
      </c>
      <c r="C17" s="11">
        <v>2000</v>
      </c>
      <c r="D17" s="12">
        <v>3000</v>
      </c>
      <c r="E17" s="11">
        <v>3000</v>
      </c>
      <c r="F17" s="11">
        <v>3000</v>
      </c>
      <c r="G17" s="11">
        <v>3000</v>
      </c>
      <c r="H17" s="11"/>
      <c r="I17" s="11">
        <v>15000</v>
      </c>
      <c r="J17" s="11">
        <v>10000</v>
      </c>
      <c r="K17" s="11"/>
      <c r="L17" s="12">
        <v>10000</v>
      </c>
    </row>
    <row r="18" spans="1:12" x14ac:dyDescent="0.25">
      <c r="A18" s="1" t="s">
        <v>22</v>
      </c>
      <c r="C18" s="11">
        <v>2000</v>
      </c>
      <c r="D18" s="12">
        <v>3000</v>
      </c>
      <c r="E18" s="11">
        <v>3000</v>
      </c>
      <c r="F18" s="11">
        <v>3000</v>
      </c>
      <c r="G18" s="11">
        <v>3000</v>
      </c>
      <c r="H18" s="11">
        <v>5000</v>
      </c>
      <c r="I18" s="11">
        <v>0</v>
      </c>
      <c r="J18" s="11"/>
      <c r="K18" s="11"/>
      <c r="L18" s="12">
        <v>0</v>
      </c>
    </row>
    <row r="19" spans="1:12" x14ac:dyDescent="0.25">
      <c r="A19" s="1" t="s">
        <v>84</v>
      </c>
      <c r="C19" s="11"/>
      <c r="D19" s="12">
        <v>12000</v>
      </c>
      <c r="E19" s="11"/>
      <c r="F19" s="11"/>
      <c r="G19" s="11">
        <v>0</v>
      </c>
      <c r="H19" s="11"/>
      <c r="I19" s="11">
        <v>12324</v>
      </c>
      <c r="J19" s="11"/>
      <c r="K19" s="11">
        <v>2950</v>
      </c>
      <c r="L19" s="12">
        <v>0</v>
      </c>
    </row>
    <row r="20" spans="1:12" x14ac:dyDescent="0.25">
      <c r="A20" s="1" t="s">
        <v>78</v>
      </c>
      <c r="C20" s="11"/>
      <c r="D20" s="12"/>
      <c r="E20" s="11"/>
      <c r="F20" s="11"/>
      <c r="G20" s="11"/>
      <c r="H20" s="11"/>
      <c r="I20" s="11"/>
      <c r="J20" s="11" t="s">
        <v>1</v>
      </c>
      <c r="K20" s="11"/>
      <c r="L20" s="12">
        <v>10000</v>
      </c>
    </row>
    <row r="21" spans="1:12" x14ac:dyDescent="0.25">
      <c r="A21" s="1" t="s">
        <v>85</v>
      </c>
      <c r="C21" s="11"/>
      <c r="D21" s="12"/>
      <c r="E21" s="11"/>
      <c r="F21" s="11">
        <v>9105</v>
      </c>
      <c r="G21" s="11">
        <v>0</v>
      </c>
      <c r="H21" s="11">
        <v>5962</v>
      </c>
      <c r="I21" s="11">
        <v>36162</v>
      </c>
      <c r="J21" s="11">
        <v>0</v>
      </c>
      <c r="K21" s="11"/>
      <c r="L21" s="12">
        <v>10000</v>
      </c>
    </row>
    <row r="22" spans="1:12" x14ac:dyDescent="0.25">
      <c r="A22" s="1" t="s">
        <v>86</v>
      </c>
      <c r="C22" s="11"/>
      <c r="D22" s="12"/>
      <c r="E22" s="11"/>
      <c r="F22" s="11"/>
      <c r="G22" s="11"/>
      <c r="H22" s="11"/>
      <c r="I22" s="11"/>
      <c r="J22" s="11"/>
      <c r="K22" s="11">
        <v>163456</v>
      </c>
      <c r="L22" s="12"/>
    </row>
    <row r="23" spans="1:12" x14ac:dyDescent="0.25">
      <c r="A23" s="1" t="s">
        <v>87</v>
      </c>
      <c r="C23" s="11"/>
      <c r="D23" s="12"/>
      <c r="E23" s="11"/>
      <c r="F23" s="11"/>
      <c r="G23" s="11"/>
      <c r="H23" s="11"/>
      <c r="I23" s="11"/>
      <c r="J23" s="11"/>
      <c r="K23" s="11">
        <v>52800</v>
      </c>
      <c r="L23" s="12"/>
    </row>
    <row r="24" spans="1:12" x14ac:dyDescent="0.25">
      <c r="A24" s="1" t="s">
        <v>25</v>
      </c>
      <c r="C24" s="11"/>
      <c r="D24" s="12">
        <v>999</v>
      </c>
      <c r="E24" s="11"/>
      <c r="F24" s="11">
        <v>0</v>
      </c>
      <c r="G24" s="11">
        <v>5291</v>
      </c>
      <c r="H24" s="11"/>
      <c r="I24" s="11">
        <v>10655</v>
      </c>
      <c r="J24" s="11">
        <v>5204</v>
      </c>
      <c r="K24" s="11"/>
      <c r="L24" s="12">
        <v>5000</v>
      </c>
    </row>
    <row r="25" spans="1:12" x14ac:dyDescent="0.25">
      <c r="A25" s="1" t="s">
        <v>26</v>
      </c>
      <c r="C25" s="11">
        <f>11227+4500</f>
        <v>15727</v>
      </c>
      <c r="D25" s="12">
        <v>8214</v>
      </c>
      <c r="E25" s="11">
        <v>7353</v>
      </c>
      <c r="F25" s="11">
        <v>7608</v>
      </c>
      <c r="G25" s="11">
        <v>6480</v>
      </c>
      <c r="H25" s="11">
        <f>6671+525</f>
        <v>7196</v>
      </c>
      <c r="I25" s="11">
        <v>2911</v>
      </c>
      <c r="J25" s="11">
        <v>2250</v>
      </c>
      <c r="K25" s="11">
        <v>4152</v>
      </c>
      <c r="L25" s="12">
        <v>7000</v>
      </c>
    </row>
    <row r="26" spans="1:12" x14ac:dyDescent="0.25">
      <c r="A26" s="1" t="s">
        <v>27</v>
      </c>
      <c r="C26" s="11">
        <v>1950</v>
      </c>
      <c r="D26" s="12">
        <v>2475</v>
      </c>
      <c r="E26" s="11">
        <v>2475</v>
      </c>
      <c r="F26" s="11">
        <v>2750</v>
      </c>
      <c r="G26" s="11">
        <v>2750</v>
      </c>
      <c r="H26" s="11">
        <v>2802</v>
      </c>
      <c r="I26" s="11">
        <v>3800</v>
      </c>
      <c r="J26" s="11">
        <v>3800</v>
      </c>
      <c r="K26" s="11">
        <v>4280</v>
      </c>
      <c r="L26" s="12">
        <v>4000</v>
      </c>
    </row>
    <row r="27" spans="1:12" x14ac:dyDescent="0.25">
      <c r="A27" s="1" t="s">
        <v>28</v>
      </c>
      <c r="C27" s="11">
        <v>5020</v>
      </c>
      <c r="D27" s="12">
        <v>5586</v>
      </c>
      <c r="E27" s="11">
        <v>6158</v>
      </c>
      <c r="F27" s="11">
        <v>7228</v>
      </c>
      <c r="G27" s="11">
        <v>4578</v>
      </c>
      <c r="H27" s="11">
        <v>7116</v>
      </c>
      <c r="I27" s="11">
        <v>8935</v>
      </c>
      <c r="J27" s="11">
        <v>7193</v>
      </c>
      <c r="K27" s="11">
        <v>5343</v>
      </c>
      <c r="L27" s="12">
        <v>9000</v>
      </c>
    </row>
    <row r="28" spans="1:12" x14ac:dyDescent="0.25">
      <c r="A28" s="1" t="s">
        <v>29</v>
      </c>
      <c r="C28" s="11">
        <v>10086</v>
      </c>
      <c r="D28" s="12">
        <v>8076</v>
      </c>
      <c r="E28" s="11">
        <v>7488</v>
      </c>
      <c r="F28" s="11">
        <v>8365</v>
      </c>
      <c r="G28" s="11">
        <v>6990</v>
      </c>
      <c r="H28" s="11">
        <v>7460</v>
      </c>
      <c r="I28" s="11">
        <v>6500</v>
      </c>
      <c r="J28" s="11">
        <v>3860</v>
      </c>
      <c r="K28" s="11">
        <v>4273</v>
      </c>
      <c r="L28" s="12">
        <v>7500</v>
      </c>
    </row>
    <row r="29" spans="1:12" x14ac:dyDescent="0.25">
      <c r="A29" s="1" t="s">
        <v>82</v>
      </c>
      <c r="C29" s="11"/>
      <c r="D29" s="12"/>
      <c r="E29" s="11"/>
      <c r="F29" s="11"/>
      <c r="G29" s="11"/>
      <c r="H29" s="11"/>
      <c r="I29" s="11"/>
      <c r="J29" s="11">
        <v>5954</v>
      </c>
      <c r="K29" s="11">
        <v>12008</v>
      </c>
      <c r="L29" s="12">
        <v>8000</v>
      </c>
    </row>
    <row r="30" spans="1:12" x14ac:dyDescent="0.25">
      <c r="A30" s="1" t="s">
        <v>30</v>
      </c>
      <c r="C30" s="11">
        <v>648</v>
      </c>
      <c r="D30" s="12">
        <v>605</v>
      </c>
      <c r="E30" s="11">
        <v>599</v>
      </c>
      <c r="F30" s="11">
        <v>608</v>
      </c>
      <c r="G30" s="11">
        <v>570</v>
      </c>
      <c r="H30" s="11">
        <v>585</v>
      </c>
      <c r="I30" s="11">
        <v>613</v>
      </c>
      <c r="J30" s="11">
        <v>1598</v>
      </c>
      <c r="K30" s="11">
        <v>1349</v>
      </c>
      <c r="L30" s="12">
        <v>1800</v>
      </c>
    </row>
    <row r="31" spans="1:12" x14ac:dyDescent="0.25">
      <c r="A31" s="1" t="s">
        <v>31</v>
      </c>
      <c r="C31" s="11">
        <f>820+1000+1500</f>
        <v>3320</v>
      </c>
      <c r="D31" s="12">
        <v>14044</v>
      </c>
      <c r="E31" s="11">
        <v>7308</v>
      </c>
      <c r="F31" s="11">
        <v>4655</v>
      </c>
      <c r="G31" s="11">
        <v>7906</v>
      </c>
      <c r="H31" s="11">
        <v>2225</v>
      </c>
      <c r="I31" s="11">
        <v>5875</v>
      </c>
      <c r="J31" s="11">
        <v>4159</v>
      </c>
      <c r="K31" s="11"/>
      <c r="L31" s="12">
        <v>5000</v>
      </c>
    </row>
    <row r="32" spans="1:12" x14ac:dyDescent="0.25">
      <c r="A32" s="1" t="s">
        <v>32</v>
      </c>
      <c r="C32" s="11"/>
      <c r="D32" s="12"/>
      <c r="E32" s="11"/>
      <c r="F32" s="11">
        <v>1772</v>
      </c>
      <c r="G32" s="11">
        <v>1397</v>
      </c>
      <c r="H32" s="11">
        <v>1398</v>
      </c>
      <c r="I32" s="11">
        <v>1698</v>
      </c>
      <c r="J32" s="11">
        <v>3395</v>
      </c>
      <c r="K32" s="11"/>
      <c r="L32" s="12">
        <v>3500</v>
      </c>
    </row>
    <row r="33" spans="1:12" s="13" customFormat="1" x14ac:dyDescent="0.25">
      <c r="A33" s="16" t="s">
        <v>33</v>
      </c>
      <c r="B33" s="17"/>
      <c r="C33" s="18">
        <f t="shared" ref="C33:L33" si="2">+SUM(C15:C32)</f>
        <v>115151</v>
      </c>
      <c r="D33" s="19">
        <f t="shared" si="2"/>
        <v>132599</v>
      </c>
      <c r="E33" s="18">
        <f t="shared" si="2"/>
        <v>108181</v>
      </c>
      <c r="F33" s="18">
        <f t="shared" si="2"/>
        <v>124091</v>
      </c>
      <c r="G33" s="18">
        <f t="shared" si="2"/>
        <v>111362</v>
      </c>
      <c r="H33" s="18">
        <f t="shared" si="2"/>
        <v>154744</v>
      </c>
      <c r="I33" s="18">
        <f t="shared" si="2"/>
        <v>214473</v>
      </c>
      <c r="J33" s="18">
        <f t="shared" si="2"/>
        <v>232413</v>
      </c>
      <c r="K33" s="18">
        <f t="shared" si="2"/>
        <v>250611</v>
      </c>
      <c r="L33" s="19">
        <f t="shared" si="2"/>
        <v>260800</v>
      </c>
    </row>
    <row r="34" spans="1:12" x14ac:dyDescent="0.25">
      <c r="C34" s="11"/>
      <c r="D34" s="12"/>
      <c r="E34" s="11"/>
      <c r="F34" s="11"/>
      <c r="G34" s="11"/>
      <c r="H34" s="11"/>
      <c r="I34" s="11"/>
      <c r="J34" s="11"/>
      <c r="K34" s="11"/>
      <c r="L34" s="12"/>
    </row>
    <row r="35" spans="1:12" s="13" customFormat="1" x14ac:dyDescent="0.25">
      <c r="A35" s="13" t="s">
        <v>34</v>
      </c>
      <c r="C35" s="14">
        <f t="shared" ref="C35:L35" si="3">+C13-C33</f>
        <v>13659</v>
      </c>
      <c r="D35" s="15">
        <f t="shared" si="3"/>
        <v>-4359</v>
      </c>
      <c r="E35" s="14">
        <f t="shared" si="3"/>
        <v>8519</v>
      </c>
      <c r="F35" s="14">
        <f t="shared" si="3"/>
        <v>10109</v>
      </c>
      <c r="G35" s="14">
        <f t="shared" si="3"/>
        <v>3747</v>
      </c>
      <c r="H35" s="14">
        <f t="shared" si="3"/>
        <v>37386</v>
      </c>
      <c r="I35" s="14">
        <f t="shared" si="3"/>
        <v>-30117</v>
      </c>
      <c r="J35" s="14">
        <f t="shared" si="3"/>
        <v>37136</v>
      </c>
      <c r="K35" s="14">
        <f t="shared" si="3"/>
        <v>211063</v>
      </c>
      <c r="L35" s="15">
        <f t="shared" si="3"/>
        <v>10200</v>
      </c>
    </row>
    <row r="36" spans="1:12" x14ac:dyDescent="0.25">
      <c r="C36" s="11"/>
      <c r="D36" s="12"/>
      <c r="E36" s="11"/>
      <c r="F36" s="11"/>
      <c r="G36" s="11"/>
      <c r="H36" s="11"/>
      <c r="I36" s="11"/>
      <c r="J36" s="11"/>
      <c r="K36" s="11"/>
      <c r="L36" s="12"/>
    </row>
    <row r="37" spans="1:12" x14ac:dyDescent="0.25">
      <c r="A37" s="1" t="s">
        <v>35</v>
      </c>
      <c r="C37" s="11">
        <v>4389</v>
      </c>
      <c r="D37" s="12">
        <v>4690</v>
      </c>
      <c r="E37" s="11">
        <v>3644</v>
      </c>
      <c r="F37" s="11">
        <v>852</v>
      </c>
      <c r="G37" s="11">
        <v>860</v>
      </c>
      <c r="H37" s="11">
        <v>1730</v>
      </c>
      <c r="I37" s="11">
        <v>4328</v>
      </c>
      <c r="J37" s="11">
        <v>8714</v>
      </c>
      <c r="K37" s="11"/>
      <c r="L37" s="12">
        <v>5000</v>
      </c>
    </row>
    <row r="38" spans="1:12" x14ac:dyDescent="0.25">
      <c r="C38" s="11"/>
      <c r="D38" s="12"/>
      <c r="E38" s="11"/>
      <c r="F38" s="11"/>
      <c r="G38" s="11"/>
      <c r="H38" s="11"/>
      <c r="I38" s="11"/>
      <c r="J38" s="11"/>
      <c r="K38" s="11"/>
      <c r="L38" s="12"/>
    </row>
    <row r="39" spans="1:12" s="13" customFormat="1" ht="12" customHeight="1" x14ac:dyDescent="0.25">
      <c r="A39" s="16" t="s">
        <v>36</v>
      </c>
      <c r="B39" s="17"/>
      <c r="C39" s="18">
        <f t="shared" ref="C39:L39" si="4">+C35+C37</f>
        <v>18048</v>
      </c>
      <c r="D39" s="19">
        <f t="shared" si="4"/>
        <v>331</v>
      </c>
      <c r="E39" s="18">
        <f t="shared" si="4"/>
        <v>12163</v>
      </c>
      <c r="F39" s="18">
        <f t="shared" si="4"/>
        <v>10961</v>
      </c>
      <c r="G39" s="18">
        <f t="shared" si="4"/>
        <v>4607</v>
      </c>
      <c r="H39" s="18">
        <f t="shared" si="4"/>
        <v>39116</v>
      </c>
      <c r="I39" s="18">
        <f>+I35+I37</f>
        <v>-25789</v>
      </c>
      <c r="J39" s="18">
        <f>+J35+J37</f>
        <v>45850</v>
      </c>
      <c r="K39" s="18">
        <f>+K35+K37</f>
        <v>211063</v>
      </c>
      <c r="L39" s="19">
        <f t="shared" si="4"/>
        <v>15200</v>
      </c>
    </row>
    <row r="40" spans="1:12" x14ac:dyDescent="0.25">
      <c r="C40" s="11"/>
      <c r="D40" s="12"/>
      <c r="E40" s="11"/>
      <c r="F40" s="11"/>
      <c r="G40" s="11"/>
      <c r="H40" s="11"/>
      <c r="I40" s="11"/>
      <c r="J40" s="11"/>
      <c r="K40" s="11"/>
      <c r="L40" s="12"/>
    </row>
    <row r="41" spans="1:12" x14ac:dyDescent="0.25">
      <c r="A41" s="13" t="s">
        <v>37</v>
      </c>
      <c r="C41" s="11"/>
      <c r="D41" s="12"/>
      <c r="E41" s="11"/>
      <c r="F41" s="11"/>
      <c r="G41" s="11"/>
      <c r="H41" s="11"/>
      <c r="I41" s="11"/>
      <c r="J41" s="11"/>
      <c r="K41" s="11"/>
      <c r="L41" s="12"/>
    </row>
    <row r="42" spans="1:12" x14ac:dyDescent="0.25">
      <c r="C42" s="11"/>
      <c r="D42" s="12"/>
      <c r="E42" s="11"/>
      <c r="F42" s="11"/>
      <c r="G42" s="11"/>
      <c r="H42" s="11"/>
      <c r="I42" s="11"/>
      <c r="J42" s="11"/>
      <c r="K42" s="11"/>
      <c r="L42" s="12"/>
    </row>
    <row r="43" spans="1:12" x14ac:dyDescent="0.25">
      <c r="A43" s="1" t="s">
        <v>38</v>
      </c>
      <c r="C43" s="11">
        <v>0</v>
      </c>
      <c r="D43" s="12">
        <v>2600</v>
      </c>
      <c r="E43" s="11">
        <v>400</v>
      </c>
      <c r="F43" s="11">
        <v>0</v>
      </c>
      <c r="G43" s="11">
        <v>0</v>
      </c>
      <c r="H43" s="11">
        <v>0</v>
      </c>
      <c r="I43" s="11">
        <v>0</v>
      </c>
      <c r="J43" s="11">
        <v>4600</v>
      </c>
      <c r="K43" s="11">
        <v>36100</v>
      </c>
      <c r="L43" s="12">
        <v>0</v>
      </c>
    </row>
    <row r="44" spans="1:12" x14ac:dyDescent="0.25">
      <c r="A44" s="1" t="s">
        <v>39</v>
      </c>
      <c r="C44" s="11"/>
      <c r="D44" s="12">
        <v>10606</v>
      </c>
      <c r="E44" s="11">
        <v>0</v>
      </c>
      <c r="F44" s="11">
        <v>0</v>
      </c>
      <c r="G44" s="11">
        <v>0</v>
      </c>
      <c r="H44" s="11">
        <v>18750</v>
      </c>
      <c r="I44" s="11">
        <v>0</v>
      </c>
      <c r="J44" s="11"/>
      <c r="K44" s="11"/>
      <c r="L44" s="12">
        <v>0</v>
      </c>
    </row>
    <row r="45" spans="1:12" x14ac:dyDescent="0.25">
      <c r="A45" s="1" t="s">
        <v>40</v>
      </c>
      <c r="C45" s="11">
        <f>50639+51541</f>
        <v>102180</v>
      </c>
      <c r="D45" s="12">
        <f>10599+68906</f>
        <v>79505</v>
      </c>
      <c r="E45" s="11">
        <v>96973</v>
      </c>
      <c r="F45" s="11">
        <v>99534</v>
      </c>
      <c r="G45" s="11">
        <v>94941</v>
      </c>
      <c r="H45" s="11">
        <v>235832</v>
      </c>
      <c r="I45" s="11">
        <v>238268</v>
      </c>
      <c r="J45" s="11">
        <v>211518</v>
      </c>
      <c r="K45" s="11">
        <v>326081</v>
      </c>
      <c r="L45" s="12">
        <v>166318</v>
      </c>
    </row>
    <row r="46" spans="1:12" x14ac:dyDescent="0.25">
      <c r="C46" s="11"/>
      <c r="D46" s="12"/>
      <c r="E46" s="11"/>
      <c r="F46" s="11"/>
      <c r="G46" s="11"/>
      <c r="H46" s="11"/>
      <c r="I46" s="11"/>
      <c r="J46" s="11"/>
      <c r="K46" s="11"/>
      <c r="L46" s="12"/>
    </row>
    <row r="47" spans="1:12" s="13" customFormat="1" x14ac:dyDescent="0.25">
      <c r="A47" s="16" t="s">
        <v>41</v>
      </c>
      <c r="B47" s="17"/>
      <c r="C47" s="18">
        <f t="shared" ref="C47:K47" si="5">+SUM(C43:C46)</f>
        <v>102180</v>
      </c>
      <c r="D47" s="19">
        <f t="shared" si="5"/>
        <v>92711</v>
      </c>
      <c r="E47" s="18">
        <f t="shared" si="5"/>
        <v>97373</v>
      </c>
      <c r="F47" s="18">
        <f t="shared" si="5"/>
        <v>99534</v>
      </c>
      <c r="G47" s="18">
        <f t="shared" si="5"/>
        <v>94941</v>
      </c>
      <c r="H47" s="18">
        <f t="shared" si="5"/>
        <v>254582</v>
      </c>
      <c r="I47" s="18">
        <f t="shared" si="5"/>
        <v>238268</v>
      </c>
      <c r="J47" s="18">
        <f t="shared" si="5"/>
        <v>216118</v>
      </c>
      <c r="K47" s="18">
        <f t="shared" si="5"/>
        <v>362181</v>
      </c>
      <c r="L47" s="19">
        <f>+L43+L45</f>
        <v>166318</v>
      </c>
    </row>
    <row r="48" spans="1:12" x14ac:dyDescent="0.25">
      <c r="C48" s="11"/>
      <c r="D48" s="12"/>
      <c r="E48" s="11"/>
      <c r="F48" s="11"/>
      <c r="G48" s="11"/>
      <c r="H48" s="11"/>
      <c r="I48" s="11"/>
      <c r="J48" s="11"/>
      <c r="K48" s="11"/>
      <c r="L48" s="12"/>
    </row>
    <row r="49" spans="1:12" x14ac:dyDescent="0.25">
      <c r="A49" s="1" t="s">
        <v>42</v>
      </c>
      <c r="C49" s="11">
        <f>6000+2300</f>
        <v>8300</v>
      </c>
      <c r="D49" s="12">
        <f>4500+1500</f>
        <v>6000</v>
      </c>
      <c r="E49" s="11">
        <v>6000</v>
      </c>
      <c r="F49" s="11">
        <v>4700</v>
      </c>
      <c r="G49" s="11">
        <v>3000</v>
      </c>
      <c r="H49" s="11">
        <v>3525</v>
      </c>
      <c r="I49" s="11">
        <v>8000</v>
      </c>
      <c r="J49" s="11"/>
      <c r="K49" s="11"/>
      <c r="L49" s="12">
        <v>0</v>
      </c>
    </row>
    <row r="50" spans="1:12" x14ac:dyDescent="0.25">
      <c r="A50" s="1" t="s">
        <v>43</v>
      </c>
      <c r="C50" s="11"/>
      <c r="D50" s="12"/>
      <c r="E50" s="11"/>
      <c r="F50" s="11"/>
      <c r="G50" s="11"/>
      <c r="H50" s="11">
        <v>125000</v>
      </c>
      <c r="I50" s="11">
        <v>125000</v>
      </c>
      <c r="J50" s="11">
        <v>65000</v>
      </c>
      <c r="K50" s="11"/>
      <c r="L50" s="12">
        <v>0</v>
      </c>
    </row>
    <row r="51" spans="1:12" x14ac:dyDescent="0.25">
      <c r="C51" s="11"/>
      <c r="D51" s="12"/>
      <c r="E51" s="11"/>
      <c r="F51" s="11"/>
      <c r="G51" s="11"/>
      <c r="H51" s="11"/>
      <c r="I51" s="11"/>
      <c r="J51" s="11"/>
      <c r="K51" s="11"/>
      <c r="L51" s="12"/>
    </row>
    <row r="52" spans="1:12" x14ac:dyDescent="0.25">
      <c r="C52" s="11"/>
      <c r="D52" s="12"/>
      <c r="E52" s="11"/>
      <c r="F52" s="11"/>
      <c r="G52" s="11"/>
      <c r="H52" s="11"/>
      <c r="I52" s="11"/>
      <c r="J52" s="11"/>
      <c r="K52" s="11"/>
      <c r="L52" s="12"/>
    </row>
    <row r="53" spans="1:12" x14ac:dyDescent="0.25">
      <c r="A53" s="13" t="s">
        <v>44</v>
      </c>
      <c r="C53" s="11">
        <v>81332</v>
      </c>
      <c r="D53" s="12">
        <v>93880</v>
      </c>
      <c r="E53" s="11">
        <f>+D55</f>
        <v>94211</v>
      </c>
      <c r="F53" s="11">
        <f>+E55-1</f>
        <v>106373</v>
      </c>
      <c r="G53" s="11">
        <f>+F55</f>
        <v>117334</v>
      </c>
      <c r="H53" s="11">
        <v>91941</v>
      </c>
      <c r="I53" s="11">
        <f>+H55</f>
        <v>131057</v>
      </c>
      <c r="J53" s="11">
        <f>+I55</f>
        <v>105268</v>
      </c>
      <c r="K53" s="11">
        <f>+J55</f>
        <v>151118</v>
      </c>
      <c r="L53" s="11">
        <f>+K55</f>
        <v>362181</v>
      </c>
    </row>
    <row r="54" spans="1:12" x14ac:dyDescent="0.25">
      <c r="A54" s="1" t="s">
        <v>45</v>
      </c>
      <c r="C54" s="11">
        <f t="shared" ref="C54:L54" si="6">+C39</f>
        <v>18048</v>
      </c>
      <c r="D54" s="12">
        <f t="shared" si="6"/>
        <v>331</v>
      </c>
      <c r="E54" s="11">
        <f t="shared" si="6"/>
        <v>12163</v>
      </c>
      <c r="F54" s="11">
        <f t="shared" si="6"/>
        <v>10961</v>
      </c>
      <c r="G54" s="11">
        <f t="shared" si="6"/>
        <v>4607</v>
      </c>
      <c r="H54" s="11">
        <f>+H39</f>
        <v>39116</v>
      </c>
      <c r="I54" s="11">
        <f>+I39</f>
        <v>-25789</v>
      </c>
      <c r="J54" s="11">
        <f>+J39</f>
        <v>45850</v>
      </c>
      <c r="K54" s="11">
        <f>+K39</f>
        <v>211063</v>
      </c>
      <c r="L54" s="12">
        <f t="shared" si="6"/>
        <v>15200</v>
      </c>
    </row>
    <row r="55" spans="1:12" x14ac:dyDescent="0.25">
      <c r="A55" s="1" t="s">
        <v>46</v>
      </c>
      <c r="C55" s="11">
        <f t="shared" ref="C55:L55" si="7">+C53+C54</f>
        <v>99380</v>
      </c>
      <c r="D55" s="12">
        <f t="shared" si="7"/>
        <v>94211</v>
      </c>
      <c r="E55" s="11">
        <f t="shared" si="7"/>
        <v>106374</v>
      </c>
      <c r="F55" s="11">
        <f t="shared" si="7"/>
        <v>117334</v>
      </c>
      <c r="G55" s="11">
        <f t="shared" si="7"/>
        <v>121941</v>
      </c>
      <c r="H55" s="11">
        <f t="shared" si="7"/>
        <v>131057</v>
      </c>
      <c r="I55" s="11">
        <f t="shared" si="7"/>
        <v>105268</v>
      </c>
      <c r="J55" s="11">
        <f t="shared" si="7"/>
        <v>151118</v>
      </c>
      <c r="K55" s="11">
        <f t="shared" si="7"/>
        <v>362181</v>
      </c>
      <c r="L55" s="12">
        <f t="shared" si="7"/>
        <v>377381</v>
      </c>
    </row>
    <row r="56" spans="1:12" x14ac:dyDescent="0.25">
      <c r="C56" s="20"/>
      <c r="D56" s="21"/>
      <c r="E56" s="20"/>
      <c r="F56" s="20"/>
      <c r="G56" s="20"/>
      <c r="H56" s="20"/>
      <c r="I56" s="20"/>
      <c r="J56" s="20"/>
      <c r="K56" s="20"/>
      <c r="L56" s="21"/>
    </row>
    <row r="57" spans="1:12" s="13" customFormat="1" x14ac:dyDescent="0.25">
      <c r="A57" s="16" t="s">
        <v>47</v>
      </c>
      <c r="B57" s="17"/>
      <c r="C57" s="18">
        <f>+C49+C55</f>
        <v>107680</v>
      </c>
      <c r="D57" s="19">
        <f>+D49+D55</f>
        <v>100211</v>
      </c>
      <c r="E57" s="18">
        <f>+E49+E55</f>
        <v>112374</v>
      </c>
      <c r="F57" s="18">
        <f>+F49+F55</f>
        <v>122034</v>
      </c>
      <c r="G57" s="18">
        <f>+G49+G55</f>
        <v>124941</v>
      </c>
      <c r="H57" s="18">
        <f>+H49+H50+H55</f>
        <v>259582</v>
      </c>
      <c r="I57" s="18">
        <f>+I49+I50+I55</f>
        <v>238268</v>
      </c>
      <c r="J57" s="18">
        <f>+J49+J50+J55</f>
        <v>216118</v>
      </c>
      <c r="K57" s="18">
        <f>+K49+K50+K55</f>
        <v>362181</v>
      </c>
      <c r="L57" s="19">
        <f>+L49+L50+L55</f>
        <v>377381</v>
      </c>
    </row>
    <row r="58" spans="1:12" x14ac:dyDescent="0.25">
      <c r="D58" s="22"/>
      <c r="L58" s="22"/>
    </row>
    <row r="59" spans="1:12" x14ac:dyDescent="0.25">
      <c r="A59" s="23" t="s">
        <v>1</v>
      </c>
      <c r="C59" s="13" t="s">
        <v>1</v>
      </c>
      <c r="D59" s="8" t="s">
        <v>1</v>
      </c>
      <c r="E59" s="13"/>
      <c r="F59" s="13"/>
      <c r="G59" s="13"/>
      <c r="H59" s="13"/>
      <c r="I59" s="13"/>
      <c r="J59" s="13"/>
      <c r="K59" s="13"/>
      <c r="L59" s="8" t="s">
        <v>1</v>
      </c>
    </row>
    <row r="60" spans="1:12" ht="13.5" customHeight="1" x14ac:dyDescent="0.25">
      <c r="D60" s="22"/>
      <c r="L60" s="22"/>
    </row>
    <row r="61" spans="1:12" ht="0.75" customHeight="1" x14ac:dyDescent="0.25">
      <c r="A61" s="1" t="s">
        <v>49</v>
      </c>
      <c r="C61" s="1">
        <f t="shared" ref="C61:L61" si="8">+C8/2</f>
        <v>59400</v>
      </c>
      <c r="D61" s="22">
        <f t="shared" si="8"/>
        <v>59600</v>
      </c>
      <c r="E61" s="1">
        <f t="shared" si="8"/>
        <v>55800</v>
      </c>
      <c r="F61" s="1">
        <f t="shared" si="8"/>
        <v>61000</v>
      </c>
      <c r="G61" s="1">
        <f>+G8/2-100</f>
        <v>54400</v>
      </c>
      <c r="H61" s="1">
        <f>+H8/2-100</f>
        <v>54800</v>
      </c>
      <c r="I61" s="1">
        <f>+I8/2</f>
        <v>54500</v>
      </c>
      <c r="L61" s="22">
        <f t="shared" si="8"/>
        <v>100000</v>
      </c>
    </row>
    <row r="62" spans="1:12" ht="1.5" customHeight="1" x14ac:dyDescent="0.25">
      <c r="A62" s="1" t="s">
        <v>50</v>
      </c>
      <c r="D62" s="22"/>
      <c r="H62" s="1">
        <v>45200</v>
      </c>
      <c r="I62" s="1">
        <v>34800</v>
      </c>
      <c r="L62" s="22">
        <v>45000</v>
      </c>
    </row>
    <row r="63" spans="1:12" ht="3" customHeight="1" x14ac:dyDescent="0.25">
      <c r="A63" s="1" t="s">
        <v>51</v>
      </c>
      <c r="C63" s="1">
        <v>15000</v>
      </c>
      <c r="D63" s="22">
        <v>15000</v>
      </c>
      <c r="E63" s="1">
        <v>15000</v>
      </c>
      <c r="F63" s="1">
        <v>15000</v>
      </c>
      <c r="G63" s="1">
        <v>15000</v>
      </c>
      <c r="H63" s="1">
        <v>15000</v>
      </c>
      <c r="I63" s="1">
        <v>15000</v>
      </c>
      <c r="L63" s="22">
        <v>15000</v>
      </c>
    </row>
    <row r="64" spans="1:12" ht="3" customHeight="1" x14ac:dyDescent="0.25">
      <c r="A64" s="13" t="s">
        <v>52</v>
      </c>
      <c r="C64" s="13">
        <f>+C61+C63</f>
        <v>74400</v>
      </c>
      <c r="D64" s="8">
        <f>+D61+D63</f>
        <v>74600</v>
      </c>
      <c r="E64" s="13">
        <f>+E61+E63</f>
        <v>70800</v>
      </c>
      <c r="F64" s="13">
        <f>+F61+F63</f>
        <v>76000</v>
      </c>
      <c r="G64" s="13">
        <f>+G61+G63</f>
        <v>69400</v>
      </c>
      <c r="H64" s="13">
        <f>+H61+H63+H62</f>
        <v>115000</v>
      </c>
      <c r="I64" s="13">
        <f>+I61+I63+I62</f>
        <v>104300</v>
      </c>
      <c r="J64" s="13"/>
      <c r="K64" s="13"/>
      <c r="L64" s="13">
        <f>+L61+L63+L62</f>
        <v>160000</v>
      </c>
    </row>
    <row r="65" spans="1:8" ht="6.75" customHeight="1" x14ac:dyDescent="0.25"/>
    <row r="66" spans="1:8" x14ac:dyDescent="0.25">
      <c r="A66" s="1" t="s">
        <v>79</v>
      </c>
      <c r="C66" s="1" t="s">
        <v>1</v>
      </c>
      <c r="D66" s="1" t="s">
        <v>1</v>
      </c>
      <c r="E66" s="1" t="s">
        <v>1</v>
      </c>
      <c r="F66" s="1" t="s">
        <v>80</v>
      </c>
      <c r="H66" s="1" t="s">
        <v>81</v>
      </c>
    </row>
    <row r="67" spans="1:8" x14ac:dyDescent="0.25">
      <c r="A67" s="1" t="s">
        <v>56</v>
      </c>
      <c r="C67" s="1" t="s">
        <v>1</v>
      </c>
      <c r="D67" s="1" t="s">
        <v>57</v>
      </c>
      <c r="E67" s="1" t="s">
        <v>1</v>
      </c>
      <c r="F67" s="1" t="s">
        <v>57</v>
      </c>
      <c r="H67" s="1" t="s">
        <v>58</v>
      </c>
    </row>
    <row r="68" spans="1:8" x14ac:dyDescent="0.25">
      <c r="A68" s="1" t="s">
        <v>1</v>
      </c>
      <c r="C68" s="1" t="s">
        <v>1</v>
      </c>
      <c r="D68" s="1" t="s">
        <v>1</v>
      </c>
      <c r="E68" s="1" t="s">
        <v>1</v>
      </c>
    </row>
  </sheetData>
  <sheetProtection selectLockedCells="1" selectUnlockedCells="1"/>
  <mergeCells count="1">
    <mergeCell ref="A1:L1"/>
  </mergeCells>
  <pageMargins left="0.45" right="0.25" top="0.4201388888888889" bottom="0.35" header="0.51180555555555551" footer="0.51180555555555551"/>
  <pageSetup paperSize="9" firstPageNumber="0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T67"/>
  <sheetViews>
    <sheetView workbookViewId="0">
      <selection activeCell="V52" sqref="V52"/>
    </sheetView>
  </sheetViews>
  <sheetFormatPr baseColWidth="10" defaultColWidth="11.453125" defaultRowHeight="11.5" x14ac:dyDescent="0.25"/>
  <cols>
    <col min="1" max="1" width="24.26953125" style="1" customWidth="1"/>
    <col min="2" max="2" width="0" style="1" hidden="1" customWidth="1"/>
    <col min="3" max="3" width="1.54296875" style="1" customWidth="1"/>
    <col min="4" max="5" width="1.453125" style="1" customWidth="1"/>
    <col min="6" max="6" width="1" style="1" customWidth="1"/>
    <col min="7" max="7" width="0.7265625" style="1" customWidth="1"/>
    <col min="8" max="8" width="1.1796875" style="1" customWidth="1"/>
    <col min="9" max="9" width="1.26953125" style="1" customWidth="1"/>
    <col min="10" max="11" width="0.54296875" style="1" customWidth="1"/>
    <col min="12" max="12" width="1" style="1" customWidth="1"/>
    <col min="13" max="17" width="9.54296875" style="1" customWidth="1"/>
    <col min="18" max="20" width="9.7265625" style="1" customWidth="1"/>
    <col min="21" max="16384" width="11.453125" style="1"/>
  </cols>
  <sheetData>
    <row r="1" spans="1:20" s="2" customFormat="1" ht="17.5" x14ac:dyDescent="0.35">
      <c r="A1" s="86" t="s">
        <v>88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29"/>
    </row>
    <row r="3" spans="1:20" x14ac:dyDescent="0.25">
      <c r="D3" s="3" t="s">
        <v>1</v>
      </c>
    </row>
    <row r="4" spans="1:20" s="8" customFormat="1" x14ac:dyDescent="0.25">
      <c r="A4" s="4" t="s">
        <v>2</v>
      </c>
      <c r="B4" s="5"/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75</v>
      </c>
      <c r="J4" s="7">
        <v>40178</v>
      </c>
      <c r="K4" s="7">
        <v>40543</v>
      </c>
      <c r="L4" s="7">
        <v>40908</v>
      </c>
      <c r="M4" s="7">
        <v>41274</v>
      </c>
      <c r="N4" s="7">
        <v>41639</v>
      </c>
      <c r="O4" s="7">
        <v>42004</v>
      </c>
      <c r="P4" s="7">
        <v>42369</v>
      </c>
      <c r="Q4" s="7">
        <v>42735</v>
      </c>
      <c r="R4" s="7">
        <v>43100</v>
      </c>
      <c r="S4" s="7">
        <v>43465</v>
      </c>
      <c r="T4" s="7" t="s">
        <v>89</v>
      </c>
    </row>
    <row r="5" spans="1:20" x14ac:dyDescent="0.25">
      <c r="C5" s="9"/>
      <c r="D5" s="10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0"/>
      <c r="S5" s="10"/>
      <c r="T5" s="10"/>
    </row>
    <row r="6" spans="1:20" x14ac:dyDescent="0.25">
      <c r="A6" s="1" t="s">
        <v>10</v>
      </c>
      <c r="C6" s="11">
        <v>148800</v>
      </c>
      <c r="D6" s="12">
        <v>127200</v>
      </c>
      <c r="E6" s="11">
        <v>129600</v>
      </c>
      <c r="F6" s="11">
        <v>145400</v>
      </c>
      <c r="G6" s="11">
        <v>125600</v>
      </c>
      <c r="H6" s="11">
        <v>126200</v>
      </c>
      <c r="I6" s="11">
        <v>133800</v>
      </c>
      <c r="J6" s="11">
        <v>204300</v>
      </c>
      <c r="K6" s="11">
        <v>201000</v>
      </c>
      <c r="L6" s="11">
        <v>206000</v>
      </c>
      <c r="M6" s="11">
        <v>204000</v>
      </c>
      <c r="N6" s="11">
        <v>198900</v>
      </c>
      <c r="O6" s="11">
        <v>207600</v>
      </c>
      <c r="P6" s="11">
        <f>209700-3900</f>
        <v>205800</v>
      </c>
      <c r="Q6" s="11">
        <v>212400</v>
      </c>
      <c r="R6" s="12">
        <v>221100</v>
      </c>
      <c r="S6" s="12">
        <v>224401</v>
      </c>
      <c r="T6" s="12">
        <v>226500</v>
      </c>
    </row>
    <row r="7" spans="1:20" x14ac:dyDescent="0.25">
      <c r="A7" s="1" t="s">
        <v>90</v>
      </c>
      <c r="C7" s="11">
        <v>-30000</v>
      </c>
      <c r="D7" s="12">
        <f>-10600+2600</f>
        <v>-8000</v>
      </c>
      <c r="E7" s="11">
        <v>-18000</v>
      </c>
      <c r="F7" s="11">
        <v>-23400</v>
      </c>
      <c r="G7" s="11">
        <v>-16600</v>
      </c>
      <c r="H7" s="11">
        <v>-16400</v>
      </c>
      <c r="I7" s="11">
        <v>-24800</v>
      </c>
      <c r="J7" s="11">
        <v>-4550</v>
      </c>
      <c r="K7" s="11">
        <v>-11700</v>
      </c>
      <c r="L7" s="11">
        <v>-22500</v>
      </c>
      <c r="M7" s="11">
        <v>-13200</v>
      </c>
      <c r="N7" s="11">
        <v>-9900</v>
      </c>
      <c r="O7" s="11">
        <v>-30770</v>
      </c>
      <c r="P7" s="11">
        <v>1700</v>
      </c>
      <c r="Q7" s="11"/>
      <c r="R7" s="12">
        <v>-29700</v>
      </c>
      <c r="S7" s="12">
        <v>-8920</v>
      </c>
      <c r="T7" s="12">
        <v>-15000</v>
      </c>
    </row>
    <row r="8" spans="1:20" x14ac:dyDescent="0.25">
      <c r="A8" s="13" t="s">
        <v>12</v>
      </c>
      <c r="C8" s="14">
        <f t="shared" ref="C8:S8" si="0">+C6+C7</f>
        <v>118800</v>
      </c>
      <c r="D8" s="15">
        <f t="shared" si="0"/>
        <v>119200</v>
      </c>
      <c r="E8" s="14">
        <f t="shared" si="0"/>
        <v>111600</v>
      </c>
      <c r="F8" s="14">
        <f t="shared" si="0"/>
        <v>122000</v>
      </c>
      <c r="G8" s="14">
        <f t="shared" si="0"/>
        <v>109000</v>
      </c>
      <c r="H8" s="14">
        <f t="shared" si="0"/>
        <v>109800</v>
      </c>
      <c r="I8" s="14">
        <f t="shared" si="0"/>
        <v>109000</v>
      </c>
      <c r="J8" s="14">
        <f t="shared" si="0"/>
        <v>199750</v>
      </c>
      <c r="K8" s="14">
        <f t="shared" si="0"/>
        <v>189300</v>
      </c>
      <c r="L8" s="14">
        <f t="shared" si="0"/>
        <v>183500</v>
      </c>
      <c r="M8" s="14">
        <f t="shared" si="0"/>
        <v>190800</v>
      </c>
      <c r="N8" s="14">
        <f t="shared" si="0"/>
        <v>189000</v>
      </c>
      <c r="O8" s="14">
        <f t="shared" si="0"/>
        <v>176830</v>
      </c>
      <c r="P8" s="14">
        <f t="shared" si="0"/>
        <v>207500</v>
      </c>
      <c r="Q8" s="14">
        <f t="shared" si="0"/>
        <v>212400</v>
      </c>
      <c r="R8" s="15">
        <f t="shared" si="0"/>
        <v>191400</v>
      </c>
      <c r="S8" s="15">
        <f t="shared" si="0"/>
        <v>215481</v>
      </c>
      <c r="T8" s="15">
        <f>+T6+T7</f>
        <v>211500</v>
      </c>
    </row>
    <row r="9" spans="1:20" x14ac:dyDescent="0.25">
      <c r="A9" s="1" t="s">
        <v>1</v>
      </c>
      <c r="C9" s="11">
        <v>1400</v>
      </c>
      <c r="D9" s="12">
        <v>6800</v>
      </c>
      <c r="E9" s="11">
        <v>4400</v>
      </c>
      <c r="F9" s="11">
        <v>10000</v>
      </c>
      <c r="G9" s="11">
        <v>4000</v>
      </c>
      <c r="H9" s="11">
        <v>12000</v>
      </c>
      <c r="I9" s="11">
        <v>13200</v>
      </c>
      <c r="J9" s="11"/>
      <c r="K9" s="11">
        <v>2800</v>
      </c>
      <c r="L9" s="11"/>
      <c r="M9" s="11" t="s">
        <v>1</v>
      </c>
      <c r="N9" s="11"/>
      <c r="O9" s="11"/>
      <c r="P9" s="11"/>
      <c r="Q9" s="11"/>
      <c r="R9" s="12"/>
      <c r="S9" s="12"/>
      <c r="T9" s="12"/>
    </row>
    <row r="10" spans="1:20" x14ac:dyDescent="0.25">
      <c r="A10" s="1" t="s">
        <v>14</v>
      </c>
      <c r="C10" s="11"/>
      <c r="D10" s="12"/>
      <c r="E10" s="11"/>
      <c r="F10" s="11"/>
      <c r="G10" s="11"/>
      <c r="H10" s="11">
        <v>50000</v>
      </c>
      <c r="I10" s="11">
        <v>40000</v>
      </c>
      <c r="J10" s="11">
        <v>40000</v>
      </c>
      <c r="K10" s="11">
        <v>40000</v>
      </c>
      <c r="L10" s="11">
        <v>40000</v>
      </c>
      <c r="M10" s="11">
        <v>30000</v>
      </c>
      <c r="N10" s="11">
        <v>35000</v>
      </c>
      <c r="O10" s="11">
        <v>45000</v>
      </c>
      <c r="P10" s="11">
        <v>35000</v>
      </c>
      <c r="Q10" s="11">
        <v>35000</v>
      </c>
      <c r="R10" s="12">
        <v>50000</v>
      </c>
      <c r="S10" s="12">
        <v>0</v>
      </c>
      <c r="T10" s="12">
        <v>40000</v>
      </c>
    </row>
    <row r="11" spans="1:20" x14ac:dyDescent="0.25">
      <c r="A11" s="1" t="s">
        <v>15</v>
      </c>
      <c r="C11" s="11">
        <v>2910</v>
      </c>
      <c r="D11" s="12">
        <v>2240</v>
      </c>
      <c r="E11" s="11">
        <v>700</v>
      </c>
      <c r="F11" s="11">
        <v>2200</v>
      </c>
      <c r="G11" s="11">
        <v>794</v>
      </c>
      <c r="H11" s="11">
        <v>1580</v>
      </c>
      <c r="I11" s="11">
        <v>2750</v>
      </c>
      <c r="J11" s="11">
        <v>6460</v>
      </c>
      <c r="K11" s="11">
        <v>5550</v>
      </c>
      <c r="L11" s="11">
        <v>4080</v>
      </c>
      <c r="M11" s="11">
        <v>8400</v>
      </c>
      <c r="N11" s="11">
        <v>13415</v>
      </c>
      <c r="O11" s="11">
        <v>8475</v>
      </c>
      <c r="P11" s="11">
        <v>11125</v>
      </c>
      <c r="Q11" s="11">
        <v>10191</v>
      </c>
      <c r="R11" s="12">
        <v>11094</v>
      </c>
      <c r="S11" s="12">
        <v>10800</v>
      </c>
      <c r="T11" s="12">
        <v>10000</v>
      </c>
    </row>
    <row r="12" spans="1:20" x14ac:dyDescent="0.25">
      <c r="A12" s="1" t="s">
        <v>16</v>
      </c>
      <c r="C12" s="11">
        <v>5700</v>
      </c>
      <c r="D12" s="12">
        <v>0</v>
      </c>
      <c r="E12" s="11"/>
      <c r="F12" s="11"/>
      <c r="G12" s="11">
        <v>1315</v>
      </c>
      <c r="H12" s="11">
        <v>18750</v>
      </c>
      <c r="I12" s="11">
        <f>5406+14000</f>
        <v>19406</v>
      </c>
      <c r="J12" s="11">
        <v>23339</v>
      </c>
      <c r="K12" s="11">
        <v>219345</v>
      </c>
      <c r="L12" s="11">
        <v>13897</v>
      </c>
      <c r="M12" s="11">
        <v>11539</v>
      </c>
      <c r="N12" s="11">
        <v>21134</v>
      </c>
      <c r="O12" s="11">
        <v>13401</v>
      </c>
      <c r="P12" s="11">
        <v>20348</v>
      </c>
      <c r="Q12" s="11">
        <v>21018</v>
      </c>
      <c r="R12" s="12">
        <v>14249</v>
      </c>
      <c r="S12" s="12">
        <v>11019</v>
      </c>
      <c r="T12" s="12">
        <v>15000</v>
      </c>
    </row>
    <row r="13" spans="1:20" s="13" customFormat="1" x14ac:dyDescent="0.25">
      <c r="A13" s="16" t="s">
        <v>17</v>
      </c>
      <c r="B13" s="17"/>
      <c r="C13" s="18">
        <f t="shared" ref="C13:S13" si="1">+SUM(C8:C12)</f>
        <v>128810</v>
      </c>
      <c r="D13" s="19">
        <f t="shared" si="1"/>
        <v>128240</v>
      </c>
      <c r="E13" s="18">
        <f t="shared" si="1"/>
        <v>116700</v>
      </c>
      <c r="F13" s="18">
        <f t="shared" si="1"/>
        <v>134200</v>
      </c>
      <c r="G13" s="18">
        <f t="shared" si="1"/>
        <v>115109</v>
      </c>
      <c r="H13" s="18">
        <f t="shared" si="1"/>
        <v>192130</v>
      </c>
      <c r="I13" s="18">
        <f t="shared" si="1"/>
        <v>184356</v>
      </c>
      <c r="J13" s="18">
        <f t="shared" si="1"/>
        <v>269549</v>
      </c>
      <c r="K13" s="18">
        <f t="shared" si="1"/>
        <v>456995</v>
      </c>
      <c r="L13" s="18">
        <f t="shared" si="1"/>
        <v>241477</v>
      </c>
      <c r="M13" s="18">
        <f t="shared" si="1"/>
        <v>240739</v>
      </c>
      <c r="N13" s="18">
        <f t="shared" si="1"/>
        <v>258549</v>
      </c>
      <c r="O13" s="18">
        <f t="shared" si="1"/>
        <v>243706</v>
      </c>
      <c r="P13" s="18">
        <f t="shared" si="1"/>
        <v>273973</v>
      </c>
      <c r="Q13" s="18">
        <f t="shared" si="1"/>
        <v>278609</v>
      </c>
      <c r="R13" s="19">
        <f t="shared" si="1"/>
        <v>266743</v>
      </c>
      <c r="S13" s="19">
        <f t="shared" si="1"/>
        <v>237300</v>
      </c>
      <c r="T13" s="19">
        <f>+SUM(T8:T12)</f>
        <v>276500</v>
      </c>
    </row>
    <row r="14" spans="1:20" x14ac:dyDescent="0.25">
      <c r="C14" s="11"/>
      <c r="D14" s="12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2"/>
      <c r="S14" s="12"/>
      <c r="T14" s="12"/>
    </row>
    <row r="15" spans="1:20" x14ac:dyDescent="0.25">
      <c r="A15" s="1" t="s">
        <v>18</v>
      </c>
      <c r="C15" s="11">
        <v>74400</v>
      </c>
      <c r="D15" s="12">
        <f>73100+1500</f>
        <v>74600</v>
      </c>
      <c r="E15" s="11">
        <v>70800</v>
      </c>
      <c r="F15" s="11">
        <v>76000</v>
      </c>
      <c r="G15" s="11">
        <v>69400</v>
      </c>
      <c r="H15" s="11"/>
      <c r="I15" s="11">
        <v>0</v>
      </c>
      <c r="J15" s="11">
        <v>130000</v>
      </c>
      <c r="K15" s="11"/>
      <c r="L15" s="11"/>
      <c r="M15" s="11"/>
      <c r="N15" s="11"/>
      <c r="O15" s="30"/>
      <c r="P15" s="30"/>
      <c r="Q15" s="30"/>
      <c r="R15" s="12">
        <v>0</v>
      </c>
      <c r="S15" s="12"/>
      <c r="T15" s="12">
        <v>0</v>
      </c>
    </row>
    <row r="16" spans="1:20" x14ac:dyDescent="0.25">
      <c r="A16" s="1" t="s">
        <v>77</v>
      </c>
      <c r="C16" s="11"/>
      <c r="D16" s="12"/>
      <c r="E16" s="11"/>
      <c r="F16" s="11"/>
      <c r="G16" s="11"/>
      <c r="H16" s="11">
        <v>115000</v>
      </c>
      <c r="I16" s="11">
        <v>110000</v>
      </c>
      <c r="J16" s="11">
        <v>55000</v>
      </c>
      <c r="K16" s="11">
        <v>175000</v>
      </c>
      <c r="L16" s="14">
        <v>170000</v>
      </c>
      <c r="M16" s="14">
        <v>170000</v>
      </c>
      <c r="N16" s="14">
        <v>170000</v>
      </c>
      <c r="O16" s="31">
        <v>170000</v>
      </c>
      <c r="P16" s="31">
        <v>170000</v>
      </c>
      <c r="Q16" s="31">
        <v>170000</v>
      </c>
      <c r="R16" s="15">
        <v>170000</v>
      </c>
      <c r="S16" s="15">
        <v>170000</v>
      </c>
      <c r="T16" s="32">
        <v>170000</v>
      </c>
    </row>
    <row r="17" spans="1:20" x14ac:dyDescent="0.25">
      <c r="A17" s="1" t="s">
        <v>21</v>
      </c>
      <c r="C17" s="11">
        <v>2000</v>
      </c>
      <c r="D17" s="12">
        <v>3000</v>
      </c>
      <c r="E17" s="11">
        <v>3000</v>
      </c>
      <c r="F17" s="11">
        <v>3000</v>
      </c>
      <c r="G17" s="11">
        <v>3000</v>
      </c>
      <c r="H17" s="11"/>
      <c r="I17" s="11">
        <v>15000</v>
      </c>
      <c r="J17" s="11">
        <v>10000</v>
      </c>
      <c r="K17" s="11">
        <v>10000</v>
      </c>
      <c r="L17" s="14">
        <v>10000</v>
      </c>
      <c r="M17" s="14">
        <v>10000</v>
      </c>
      <c r="N17" s="14">
        <v>10000</v>
      </c>
      <c r="O17" s="31">
        <v>10000</v>
      </c>
      <c r="P17" s="31">
        <v>10000</v>
      </c>
      <c r="Q17" s="31">
        <v>10000</v>
      </c>
      <c r="R17" s="15">
        <v>10000</v>
      </c>
      <c r="S17" s="15">
        <v>10000</v>
      </c>
      <c r="T17" s="32">
        <v>10000</v>
      </c>
    </row>
    <row r="18" spans="1:20" x14ac:dyDescent="0.25">
      <c r="A18" s="1" t="s">
        <v>22</v>
      </c>
      <c r="C18" s="11">
        <v>2000</v>
      </c>
      <c r="D18" s="12">
        <v>3000</v>
      </c>
      <c r="E18" s="11">
        <v>3000</v>
      </c>
      <c r="F18" s="11">
        <v>3000</v>
      </c>
      <c r="G18" s="11">
        <v>3000</v>
      </c>
      <c r="H18" s="11">
        <v>5000</v>
      </c>
      <c r="I18" s="11">
        <v>0</v>
      </c>
      <c r="J18" s="11"/>
      <c r="K18" s="11"/>
      <c r="L18" s="11"/>
      <c r="M18" s="11"/>
      <c r="N18" s="11"/>
      <c r="O18" s="11"/>
      <c r="P18" s="11"/>
      <c r="Q18" s="11">
        <v>5000</v>
      </c>
      <c r="R18" s="15">
        <v>5000</v>
      </c>
      <c r="S18" s="15">
        <v>5000</v>
      </c>
      <c r="T18" s="32">
        <v>5000</v>
      </c>
    </row>
    <row r="19" spans="1:20" x14ac:dyDescent="0.25">
      <c r="A19" s="1" t="s">
        <v>91</v>
      </c>
      <c r="C19" s="11"/>
      <c r="D19" s="12">
        <v>12000</v>
      </c>
      <c r="E19" s="11"/>
      <c r="F19" s="11"/>
      <c r="G19" s="11">
        <v>0</v>
      </c>
      <c r="H19" s="11"/>
      <c r="I19" s="11">
        <v>12324</v>
      </c>
      <c r="J19" s="11"/>
      <c r="K19" s="11">
        <v>2950</v>
      </c>
      <c r="L19" s="11"/>
      <c r="M19" s="11"/>
      <c r="N19" s="11"/>
      <c r="O19" s="11">
        <v>4850</v>
      </c>
      <c r="P19" s="11">
        <v>2250</v>
      </c>
      <c r="Q19" s="11">
        <v>3000</v>
      </c>
      <c r="R19" s="12">
        <v>3200</v>
      </c>
      <c r="S19" s="12">
        <v>1719</v>
      </c>
      <c r="T19" s="12">
        <v>3000</v>
      </c>
    </row>
    <row r="20" spans="1:20" x14ac:dyDescent="0.25">
      <c r="A20" s="1" t="s">
        <v>92</v>
      </c>
      <c r="C20" s="11"/>
      <c r="D20" s="12"/>
      <c r="E20" s="11"/>
      <c r="F20" s="11"/>
      <c r="G20" s="11"/>
      <c r="H20" s="11"/>
      <c r="I20" s="11"/>
      <c r="J20" s="11" t="s">
        <v>1</v>
      </c>
      <c r="K20" s="11"/>
      <c r="L20" s="11">
        <v>19000</v>
      </c>
      <c r="M20" s="11"/>
      <c r="N20" s="11">
        <v>40300</v>
      </c>
      <c r="O20" s="11">
        <v>3428</v>
      </c>
      <c r="P20" s="11"/>
      <c r="Q20" s="11">
        <v>21313</v>
      </c>
      <c r="R20" s="12">
        <v>0</v>
      </c>
      <c r="S20" s="12">
        <v>1734</v>
      </c>
      <c r="T20" s="12">
        <v>15000</v>
      </c>
    </row>
    <row r="21" spans="1:20" x14ac:dyDescent="0.25">
      <c r="A21" s="1" t="s">
        <v>93</v>
      </c>
      <c r="C21" s="11"/>
      <c r="D21" s="12"/>
      <c r="E21" s="11"/>
      <c r="F21" s="11">
        <v>9105</v>
      </c>
      <c r="G21" s="11">
        <v>0</v>
      </c>
      <c r="H21" s="11">
        <v>5962</v>
      </c>
      <c r="I21" s="11">
        <v>36162</v>
      </c>
      <c r="J21" s="11">
        <v>0</v>
      </c>
      <c r="K21" s="11"/>
      <c r="L21" s="11"/>
      <c r="M21" s="11"/>
      <c r="N21" s="11"/>
      <c r="O21" s="30"/>
      <c r="P21" s="30"/>
      <c r="Q21" s="30"/>
      <c r="R21" s="12">
        <v>0</v>
      </c>
      <c r="S21" s="12">
        <v>9900</v>
      </c>
      <c r="T21" s="12">
        <v>25000</v>
      </c>
    </row>
    <row r="22" spans="1:20" x14ac:dyDescent="0.25">
      <c r="A22" s="1" t="s">
        <v>94</v>
      </c>
      <c r="C22" s="11"/>
      <c r="D22" s="12"/>
      <c r="E22" s="11"/>
      <c r="F22" s="11"/>
      <c r="G22" s="11"/>
      <c r="H22" s="11"/>
      <c r="I22" s="11"/>
      <c r="J22" s="11"/>
      <c r="K22" s="11">
        <v>200106</v>
      </c>
      <c r="L22" s="11"/>
      <c r="M22" s="11"/>
      <c r="N22" s="11"/>
      <c r="O22" s="11"/>
      <c r="P22" s="11" t="s">
        <v>1</v>
      </c>
      <c r="Q22" s="11">
        <v>0</v>
      </c>
      <c r="R22" s="12">
        <v>0</v>
      </c>
      <c r="S22" s="12">
        <v>2250</v>
      </c>
      <c r="T22" s="12">
        <v>0</v>
      </c>
    </row>
    <row r="23" spans="1:20" x14ac:dyDescent="0.25">
      <c r="A23" s="1" t="s">
        <v>95</v>
      </c>
      <c r="C23" s="11"/>
      <c r="D23" s="12"/>
      <c r="E23" s="11"/>
      <c r="F23" s="11"/>
      <c r="G23" s="11"/>
      <c r="H23" s="11"/>
      <c r="I23" s="11"/>
      <c r="J23" s="11"/>
      <c r="K23" s="11">
        <v>52800</v>
      </c>
      <c r="L23" s="11"/>
      <c r="M23" s="11"/>
      <c r="N23" s="11"/>
      <c r="O23" s="11"/>
      <c r="P23" s="11">
        <v>21879</v>
      </c>
      <c r="Q23" s="11"/>
      <c r="R23" s="12">
        <v>0</v>
      </c>
      <c r="S23" s="12">
        <v>75700</v>
      </c>
      <c r="T23" s="12">
        <v>0</v>
      </c>
    </row>
    <row r="24" spans="1:20" x14ac:dyDescent="0.25">
      <c r="A24" s="1" t="s">
        <v>25</v>
      </c>
      <c r="C24" s="11"/>
      <c r="D24" s="12">
        <v>999</v>
      </c>
      <c r="E24" s="11"/>
      <c r="F24" s="11">
        <v>0</v>
      </c>
      <c r="G24" s="11">
        <v>5291</v>
      </c>
      <c r="H24" s="11"/>
      <c r="I24" s="11">
        <v>10655</v>
      </c>
      <c r="J24" s="11">
        <v>5204</v>
      </c>
      <c r="K24" s="11"/>
      <c r="L24" s="11"/>
      <c r="M24" s="11"/>
      <c r="N24" s="11"/>
      <c r="O24" s="11"/>
      <c r="P24" s="11">
        <v>9080</v>
      </c>
      <c r="Q24" s="11"/>
      <c r="R24" s="12">
        <v>0</v>
      </c>
      <c r="S24" s="12"/>
      <c r="T24" s="12">
        <v>8000</v>
      </c>
    </row>
    <row r="25" spans="1:20" x14ac:dyDescent="0.25">
      <c r="A25" s="1" t="s">
        <v>26</v>
      </c>
      <c r="C25" s="11">
        <f>11227+4500</f>
        <v>15727</v>
      </c>
      <c r="D25" s="12">
        <v>8214</v>
      </c>
      <c r="E25" s="11">
        <v>7353</v>
      </c>
      <c r="F25" s="11">
        <v>7608</v>
      </c>
      <c r="G25" s="11">
        <v>6480</v>
      </c>
      <c r="H25" s="11">
        <f>6671+525</f>
        <v>7196</v>
      </c>
      <c r="I25" s="11">
        <v>2911</v>
      </c>
      <c r="J25" s="11">
        <v>2250</v>
      </c>
      <c r="K25" s="11">
        <v>5850</v>
      </c>
      <c r="L25" s="11">
        <v>5791</v>
      </c>
      <c r="M25" s="11">
        <v>4582</v>
      </c>
      <c r="N25" s="11">
        <v>4416</v>
      </c>
      <c r="O25" s="11">
        <v>4920</v>
      </c>
      <c r="P25" s="11">
        <v>6944</v>
      </c>
      <c r="Q25" s="11">
        <v>5960</v>
      </c>
      <c r="R25" s="12">
        <v>8250</v>
      </c>
      <c r="S25" s="12">
        <v>9267</v>
      </c>
      <c r="T25" s="12">
        <v>8000</v>
      </c>
    </row>
    <row r="26" spans="1:20" x14ac:dyDescent="0.25">
      <c r="A26" s="1" t="s">
        <v>27</v>
      </c>
      <c r="C26" s="11">
        <v>1950</v>
      </c>
      <c r="D26" s="12">
        <v>2475</v>
      </c>
      <c r="E26" s="11">
        <v>2475</v>
      </c>
      <c r="F26" s="11">
        <v>2750</v>
      </c>
      <c r="G26" s="11">
        <v>2750</v>
      </c>
      <c r="H26" s="11">
        <v>2802</v>
      </c>
      <c r="I26" s="11">
        <v>3800</v>
      </c>
      <c r="J26" s="11">
        <v>3800</v>
      </c>
      <c r="K26" s="11">
        <v>4280</v>
      </c>
      <c r="L26" s="11">
        <v>4280</v>
      </c>
      <c r="M26" s="11">
        <v>4190</v>
      </c>
      <c r="N26" s="11">
        <v>4280</v>
      </c>
      <c r="O26" s="11">
        <v>5420</v>
      </c>
      <c r="P26" s="11">
        <v>5420</v>
      </c>
      <c r="Q26" s="11">
        <v>5420</v>
      </c>
      <c r="R26" s="12">
        <v>5420</v>
      </c>
      <c r="S26" s="12"/>
      <c r="T26" s="12">
        <v>5500</v>
      </c>
    </row>
    <row r="27" spans="1:20" x14ac:dyDescent="0.25">
      <c r="A27" s="1" t="s">
        <v>28</v>
      </c>
      <c r="C27" s="11">
        <v>5020</v>
      </c>
      <c r="D27" s="12">
        <v>5586</v>
      </c>
      <c r="E27" s="11">
        <v>6158</v>
      </c>
      <c r="F27" s="11">
        <v>7228</v>
      </c>
      <c r="G27" s="11">
        <v>4578</v>
      </c>
      <c r="H27" s="11">
        <v>7116</v>
      </c>
      <c r="I27" s="11">
        <v>8935</v>
      </c>
      <c r="J27" s="11">
        <v>7193</v>
      </c>
      <c r="K27" s="11">
        <v>5343</v>
      </c>
      <c r="L27" s="11">
        <v>11935</v>
      </c>
      <c r="M27" s="11">
        <v>6746</v>
      </c>
      <c r="N27" s="11">
        <v>7124</v>
      </c>
      <c r="O27" s="11">
        <v>10899</v>
      </c>
      <c r="P27" s="11">
        <v>16114</v>
      </c>
      <c r="Q27" s="11">
        <v>15175</v>
      </c>
      <c r="R27" s="12">
        <v>2612</v>
      </c>
      <c r="S27" s="12">
        <v>13303</v>
      </c>
      <c r="T27" s="12">
        <v>15000</v>
      </c>
    </row>
    <row r="28" spans="1:20" x14ac:dyDescent="0.25">
      <c r="A28" s="1" t="s">
        <v>29</v>
      </c>
      <c r="C28" s="11">
        <v>10086</v>
      </c>
      <c r="D28" s="12">
        <v>8076</v>
      </c>
      <c r="E28" s="11">
        <v>7488</v>
      </c>
      <c r="F28" s="11">
        <v>8365</v>
      </c>
      <c r="G28" s="11">
        <v>6990</v>
      </c>
      <c r="H28" s="11">
        <v>7460</v>
      </c>
      <c r="I28" s="11">
        <v>6500</v>
      </c>
      <c r="J28" s="11">
        <v>3860</v>
      </c>
      <c r="K28" s="11">
        <v>4273</v>
      </c>
      <c r="L28" s="11">
        <v>6038</v>
      </c>
      <c r="M28" s="11">
        <v>2960</v>
      </c>
      <c r="N28" s="11">
        <v>3965</v>
      </c>
      <c r="O28" s="11">
        <v>2420</v>
      </c>
      <c r="P28" s="11">
        <v>6762</v>
      </c>
      <c r="Q28" s="11">
        <v>2835</v>
      </c>
      <c r="R28" s="12">
        <v>3120</v>
      </c>
      <c r="S28" s="12">
        <v>4410</v>
      </c>
      <c r="T28" s="12">
        <v>5000</v>
      </c>
    </row>
    <row r="29" spans="1:20" x14ac:dyDescent="0.25">
      <c r="A29" s="1" t="s">
        <v>82</v>
      </c>
      <c r="C29" s="11"/>
      <c r="D29" s="12"/>
      <c r="E29" s="11"/>
      <c r="F29" s="11"/>
      <c r="G29" s="11"/>
      <c r="H29" s="11"/>
      <c r="I29" s="11"/>
      <c r="J29" s="11">
        <v>5954</v>
      </c>
      <c r="K29" s="11">
        <v>16314</v>
      </c>
      <c r="L29" s="11">
        <v>7766</v>
      </c>
      <c r="M29" s="11">
        <v>11592</v>
      </c>
      <c r="N29" s="11">
        <v>5491</v>
      </c>
      <c r="O29" s="11">
        <v>2008</v>
      </c>
      <c r="P29" s="11">
        <v>2452</v>
      </c>
      <c r="Q29" s="11">
        <v>7065</v>
      </c>
      <c r="R29" s="12">
        <v>6161</v>
      </c>
      <c r="S29" s="12">
        <v>915</v>
      </c>
      <c r="T29" s="12">
        <v>5000</v>
      </c>
    </row>
    <row r="30" spans="1:20" x14ac:dyDescent="0.25">
      <c r="A30" s="1" t="s">
        <v>30</v>
      </c>
      <c r="C30" s="11">
        <v>648</v>
      </c>
      <c r="D30" s="12">
        <v>605</v>
      </c>
      <c r="E30" s="11">
        <v>599</v>
      </c>
      <c r="F30" s="11">
        <v>608</v>
      </c>
      <c r="G30" s="11">
        <v>570</v>
      </c>
      <c r="H30" s="11">
        <v>585</v>
      </c>
      <c r="I30" s="11">
        <v>613</v>
      </c>
      <c r="J30" s="11">
        <v>1598</v>
      </c>
      <c r="K30" s="11">
        <v>1663</v>
      </c>
      <c r="L30" s="11">
        <v>2178</v>
      </c>
      <c r="M30" s="11">
        <v>1670</v>
      </c>
      <c r="N30" s="11">
        <v>1846</v>
      </c>
      <c r="O30" s="11">
        <v>1931</v>
      </c>
      <c r="P30" s="11">
        <v>2345</v>
      </c>
      <c r="Q30" s="11">
        <v>2026</v>
      </c>
      <c r="R30" s="12">
        <v>2107</v>
      </c>
      <c r="S30" s="12">
        <v>2518</v>
      </c>
      <c r="T30" s="12">
        <v>2500</v>
      </c>
    </row>
    <row r="31" spans="1:20" x14ac:dyDescent="0.25">
      <c r="A31" s="1" t="s">
        <v>31</v>
      </c>
      <c r="C31" s="11">
        <f>820+1000+1500</f>
        <v>3320</v>
      </c>
      <c r="D31" s="12">
        <v>14044</v>
      </c>
      <c r="E31" s="11">
        <v>7308</v>
      </c>
      <c r="F31" s="11">
        <v>4655</v>
      </c>
      <c r="G31" s="11">
        <v>7906</v>
      </c>
      <c r="H31" s="11">
        <v>2225</v>
      </c>
      <c r="I31" s="11">
        <v>5875</v>
      </c>
      <c r="J31" s="11">
        <v>4159</v>
      </c>
      <c r="K31" s="11">
        <v>3002</v>
      </c>
      <c r="L31" s="11">
        <v>3477</v>
      </c>
      <c r="M31" s="11">
        <v>3623</v>
      </c>
      <c r="N31" s="11">
        <v>3185</v>
      </c>
      <c r="O31" s="11">
        <v>5281</v>
      </c>
      <c r="P31" s="11">
        <v>12383</v>
      </c>
      <c r="Q31" s="11">
        <v>10605</v>
      </c>
      <c r="R31" s="12">
        <v>4149</v>
      </c>
      <c r="S31" s="12">
        <v>11086</v>
      </c>
      <c r="T31" s="12">
        <v>9500</v>
      </c>
    </row>
    <row r="32" spans="1:20" x14ac:dyDescent="0.25">
      <c r="A32" s="1" t="s">
        <v>32</v>
      </c>
      <c r="C32" s="11"/>
      <c r="D32" s="12"/>
      <c r="E32" s="11"/>
      <c r="F32" s="11">
        <v>1772</v>
      </c>
      <c r="G32" s="11">
        <v>1397</v>
      </c>
      <c r="H32" s="11">
        <v>1398</v>
      </c>
      <c r="I32" s="11">
        <v>1698</v>
      </c>
      <c r="J32" s="11">
        <v>3395</v>
      </c>
      <c r="K32" s="11"/>
      <c r="L32" s="11">
        <v>1697</v>
      </c>
      <c r="M32" s="11">
        <v>1698</v>
      </c>
      <c r="N32" s="11">
        <v>1721</v>
      </c>
      <c r="O32" s="11">
        <v>1750</v>
      </c>
      <c r="P32" s="11">
        <v>4881</v>
      </c>
      <c r="Q32" s="11">
        <v>4090</v>
      </c>
      <c r="R32" s="12">
        <v>4016</v>
      </c>
      <c r="S32" s="12">
        <v>4016</v>
      </c>
      <c r="T32" s="12">
        <v>4000</v>
      </c>
    </row>
    <row r="33" spans="1:20" s="13" customFormat="1" x14ac:dyDescent="0.25">
      <c r="A33" s="16" t="s">
        <v>33</v>
      </c>
      <c r="B33" s="17"/>
      <c r="C33" s="18">
        <f t="shared" ref="C33:S33" si="2">+SUM(C15:C32)</f>
        <v>115151</v>
      </c>
      <c r="D33" s="19">
        <f t="shared" si="2"/>
        <v>132599</v>
      </c>
      <c r="E33" s="18">
        <f t="shared" si="2"/>
        <v>108181</v>
      </c>
      <c r="F33" s="18">
        <f t="shared" si="2"/>
        <v>124091</v>
      </c>
      <c r="G33" s="18">
        <f t="shared" si="2"/>
        <v>111362</v>
      </c>
      <c r="H33" s="18">
        <f t="shared" si="2"/>
        <v>154744</v>
      </c>
      <c r="I33" s="18">
        <f t="shared" si="2"/>
        <v>214473</v>
      </c>
      <c r="J33" s="18">
        <f t="shared" si="2"/>
        <v>232413</v>
      </c>
      <c r="K33" s="18">
        <f t="shared" si="2"/>
        <v>481581</v>
      </c>
      <c r="L33" s="18">
        <f t="shared" si="2"/>
        <v>242162</v>
      </c>
      <c r="M33" s="18">
        <f t="shared" si="2"/>
        <v>217061</v>
      </c>
      <c r="N33" s="18">
        <f t="shared" si="2"/>
        <v>252328</v>
      </c>
      <c r="O33" s="18">
        <f t="shared" si="2"/>
        <v>222907</v>
      </c>
      <c r="P33" s="18">
        <f t="shared" si="2"/>
        <v>270510</v>
      </c>
      <c r="Q33" s="18">
        <f t="shared" si="2"/>
        <v>262489</v>
      </c>
      <c r="R33" s="19">
        <f t="shared" si="2"/>
        <v>224035</v>
      </c>
      <c r="S33" s="19">
        <f t="shared" si="2"/>
        <v>321818</v>
      </c>
      <c r="T33" s="19">
        <f>+SUM(T15:T32)</f>
        <v>290500</v>
      </c>
    </row>
    <row r="34" spans="1:20" x14ac:dyDescent="0.25">
      <c r="C34" s="11"/>
      <c r="D34" s="12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2"/>
      <c r="S34" s="12"/>
      <c r="T34" s="12"/>
    </row>
    <row r="35" spans="1:20" s="13" customFormat="1" x14ac:dyDescent="0.25">
      <c r="A35" s="13" t="s">
        <v>34</v>
      </c>
      <c r="C35" s="14">
        <f t="shared" ref="C35:S35" si="3">+C13-C33</f>
        <v>13659</v>
      </c>
      <c r="D35" s="15">
        <f t="shared" si="3"/>
        <v>-4359</v>
      </c>
      <c r="E35" s="14">
        <f t="shared" si="3"/>
        <v>8519</v>
      </c>
      <c r="F35" s="14">
        <f t="shared" si="3"/>
        <v>10109</v>
      </c>
      <c r="G35" s="14">
        <f t="shared" si="3"/>
        <v>3747</v>
      </c>
      <c r="H35" s="14">
        <f t="shared" si="3"/>
        <v>37386</v>
      </c>
      <c r="I35" s="14">
        <f t="shared" si="3"/>
        <v>-30117</v>
      </c>
      <c r="J35" s="14">
        <f t="shared" si="3"/>
        <v>37136</v>
      </c>
      <c r="K35" s="14">
        <f t="shared" si="3"/>
        <v>-24586</v>
      </c>
      <c r="L35" s="14">
        <f t="shared" si="3"/>
        <v>-685</v>
      </c>
      <c r="M35" s="14">
        <f t="shared" si="3"/>
        <v>23678</v>
      </c>
      <c r="N35" s="14">
        <f t="shared" si="3"/>
        <v>6221</v>
      </c>
      <c r="O35" s="14">
        <f t="shared" si="3"/>
        <v>20799</v>
      </c>
      <c r="P35" s="14">
        <f t="shared" si="3"/>
        <v>3463</v>
      </c>
      <c r="Q35" s="14">
        <f t="shared" si="3"/>
        <v>16120</v>
      </c>
      <c r="R35" s="15">
        <f t="shared" si="3"/>
        <v>42708</v>
      </c>
      <c r="S35" s="15">
        <f t="shared" si="3"/>
        <v>-84518</v>
      </c>
      <c r="T35" s="15">
        <f>+T13-T33</f>
        <v>-14000</v>
      </c>
    </row>
    <row r="36" spans="1:20" x14ac:dyDescent="0.25">
      <c r="C36" s="11"/>
      <c r="D36" s="12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2"/>
      <c r="S36" s="12"/>
      <c r="T36" s="12"/>
    </row>
    <row r="37" spans="1:20" x14ac:dyDescent="0.25">
      <c r="A37" s="1" t="s">
        <v>35</v>
      </c>
      <c r="C37" s="11">
        <v>4389</v>
      </c>
      <c r="D37" s="12">
        <v>4690</v>
      </c>
      <c r="E37" s="11">
        <v>3644</v>
      </c>
      <c r="F37" s="11">
        <v>852</v>
      </c>
      <c r="G37" s="11">
        <v>860</v>
      </c>
      <c r="H37" s="11">
        <v>1730</v>
      </c>
      <c r="I37" s="11">
        <v>4328</v>
      </c>
      <c r="J37" s="11">
        <v>8714</v>
      </c>
      <c r="K37" s="11">
        <v>4757</v>
      </c>
      <c r="L37" s="11">
        <v>4478</v>
      </c>
      <c r="M37" s="11">
        <v>4595</v>
      </c>
      <c r="N37" s="11">
        <v>4148</v>
      </c>
      <c r="O37" s="11">
        <v>5034</v>
      </c>
      <c r="P37" s="11">
        <v>4152</v>
      </c>
      <c r="Q37" s="11">
        <v>2074</v>
      </c>
      <c r="R37" s="12">
        <v>1792</v>
      </c>
      <c r="S37" s="12">
        <v>3118</v>
      </c>
      <c r="T37" s="12">
        <v>2000</v>
      </c>
    </row>
    <row r="38" spans="1:20" x14ac:dyDescent="0.25">
      <c r="C38" s="11"/>
      <c r="D38" s="12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2"/>
      <c r="S38" s="12"/>
      <c r="T38" s="12"/>
    </row>
    <row r="39" spans="1:20" s="13" customFormat="1" ht="12" customHeight="1" x14ac:dyDescent="0.25">
      <c r="A39" s="16" t="s">
        <v>36</v>
      </c>
      <c r="B39" s="17"/>
      <c r="C39" s="18">
        <f t="shared" ref="C39:H39" si="4">+C35+C37</f>
        <v>18048</v>
      </c>
      <c r="D39" s="19">
        <f t="shared" si="4"/>
        <v>331</v>
      </c>
      <c r="E39" s="18">
        <f t="shared" si="4"/>
        <v>12163</v>
      </c>
      <c r="F39" s="18">
        <f t="shared" si="4"/>
        <v>10961</v>
      </c>
      <c r="G39" s="18">
        <f t="shared" si="4"/>
        <v>4607</v>
      </c>
      <c r="H39" s="18">
        <f t="shared" si="4"/>
        <v>39116</v>
      </c>
      <c r="I39" s="18">
        <f t="shared" ref="I39:Q39" si="5">+I35+I37</f>
        <v>-25789</v>
      </c>
      <c r="J39" s="18">
        <f t="shared" si="5"/>
        <v>45850</v>
      </c>
      <c r="K39" s="18">
        <f t="shared" si="5"/>
        <v>-19829</v>
      </c>
      <c r="L39" s="18">
        <f t="shared" si="5"/>
        <v>3793</v>
      </c>
      <c r="M39" s="18">
        <f t="shared" si="5"/>
        <v>28273</v>
      </c>
      <c r="N39" s="18">
        <f t="shared" si="5"/>
        <v>10369</v>
      </c>
      <c r="O39" s="18">
        <f t="shared" si="5"/>
        <v>25833</v>
      </c>
      <c r="P39" s="18">
        <f t="shared" si="5"/>
        <v>7615</v>
      </c>
      <c r="Q39" s="18">
        <f t="shared" si="5"/>
        <v>18194</v>
      </c>
      <c r="R39" s="19">
        <f>+R35+R37</f>
        <v>44500</v>
      </c>
      <c r="S39" s="19">
        <f>+S35+S37</f>
        <v>-81400</v>
      </c>
      <c r="T39" s="19">
        <f>+T35+T37</f>
        <v>-12000</v>
      </c>
    </row>
    <row r="40" spans="1:20" x14ac:dyDescent="0.25">
      <c r="C40" s="11"/>
      <c r="D40" s="12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2"/>
      <c r="S40" s="12"/>
      <c r="T40" s="12"/>
    </row>
    <row r="41" spans="1:20" x14ac:dyDescent="0.25">
      <c r="A41" s="13" t="s">
        <v>37</v>
      </c>
      <c r="C41" s="11"/>
      <c r="D41" s="12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2"/>
      <c r="S41" s="12"/>
      <c r="T41" s="12"/>
    </row>
    <row r="42" spans="1:20" x14ac:dyDescent="0.25">
      <c r="A42" s="1" t="s">
        <v>96</v>
      </c>
      <c r="C42" s="11"/>
      <c r="D42" s="12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>
        <v>2932</v>
      </c>
      <c r="Q42" s="11">
        <v>2932</v>
      </c>
      <c r="R42" s="12">
        <v>2932</v>
      </c>
      <c r="S42" s="12">
        <v>2932</v>
      </c>
      <c r="T42" s="12">
        <v>2932</v>
      </c>
    </row>
    <row r="43" spans="1:20" x14ac:dyDescent="0.25">
      <c r="A43" s="1" t="s">
        <v>38</v>
      </c>
      <c r="C43" s="11">
        <v>0</v>
      </c>
      <c r="D43" s="12">
        <v>2600</v>
      </c>
      <c r="E43" s="11">
        <v>400</v>
      </c>
      <c r="F43" s="11">
        <v>0</v>
      </c>
      <c r="G43" s="11">
        <v>0</v>
      </c>
      <c r="H43" s="11">
        <v>0</v>
      </c>
      <c r="I43" s="11">
        <v>0</v>
      </c>
      <c r="J43" s="11">
        <v>4600</v>
      </c>
      <c r="K43" s="11">
        <v>0</v>
      </c>
      <c r="L43" s="11">
        <v>14700</v>
      </c>
      <c r="M43" s="11">
        <v>4800</v>
      </c>
      <c r="N43" s="11">
        <v>4500</v>
      </c>
      <c r="O43" s="11">
        <v>6600</v>
      </c>
      <c r="P43" s="11">
        <v>600</v>
      </c>
      <c r="Q43" s="11">
        <v>7200</v>
      </c>
      <c r="R43" s="12">
        <v>0</v>
      </c>
      <c r="S43" s="12"/>
      <c r="T43" s="12">
        <v>0</v>
      </c>
    </row>
    <row r="44" spans="1:20" x14ac:dyDescent="0.25">
      <c r="A44" s="1" t="s">
        <v>39</v>
      </c>
      <c r="C44" s="11"/>
      <c r="D44" s="12">
        <v>10606</v>
      </c>
      <c r="E44" s="11">
        <v>0</v>
      </c>
      <c r="F44" s="11">
        <v>0</v>
      </c>
      <c r="G44" s="11">
        <v>0</v>
      </c>
      <c r="H44" s="11">
        <v>18750</v>
      </c>
      <c r="I44" s="11">
        <v>0</v>
      </c>
      <c r="J44" s="11"/>
      <c r="K44" s="11">
        <v>5521</v>
      </c>
      <c r="L44" s="11">
        <v>2000</v>
      </c>
      <c r="M44" s="11">
        <v>1400</v>
      </c>
      <c r="N44" s="11">
        <v>14108</v>
      </c>
      <c r="O44" s="11">
        <v>1244</v>
      </c>
      <c r="P44" s="11">
        <v>1244</v>
      </c>
      <c r="Q44" s="11">
        <v>0</v>
      </c>
      <c r="R44" s="12">
        <v>0</v>
      </c>
      <c r="S44" s="12"/>
      <c r="T44" s="12">
        <v>0</v>
      </c>
    </row>
    <row r="45" spans="1:20" x14ac:dyDescent="0.25">
      <c r="A45" s="1" t="s">
        <v>40</v>
      </c>
      <c r="C45" s="11">
        <f>50639+51541</f>
        <v>102180</v>
      </c>
      <c r="D45" s="12">
        <f>10599+68906</f>
        <v>79505</v>
      </c>
      <c r="E45" s="11">
        <v>96973</v>
      </c>
      <c r="F45" s="11">
        <v>99534</v>
      </c>
      <c r="G45" s="11">
        <v>94941</v>
      </c>
      <c r="H45" s="11">
        <v>235832</v>
      </c>
      <c r="I45" s="11">
        <v>238268</v>
      </c>
      <c r="J45" s="11">
        <v>211518</v>
      </c>
      <c r="K45" s="11">
        <v>347418</v>
      </c>
      <c r="L45" s="11">
        <v>299270</v>
      </c>
      <c r="M45" s="11">
        <v>338355</v>
      </c>
      <c r="N45" s="11">
        <v>364491</v>
      </c>
      <c r="O45" s="11">
        <v>371713</v>
      </c>
      <c r="P45" s="11">
        <v>386296</v>
      </c>
      <c r="Q45" s="11">
        <v>395234</v>
      </c>
      <c r="R45" s="12">
        <v>451934</v>
      </c>
      <c r="S45" s="12">
        <v>370534</v>
      </c>
      <c r="T45" s="12">
        <v>449934</v>
      </c>
    </row>
    <row r="46" spans="1:20" x14ac:dyDescent="0.25">
      <c r="C46" s="11"/>
      <c r="D46" s="12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2"/>
      <c r="S46" s="12"/>
      <c r="T46" s="12"/>
    </row>
    <row r="47" spans="1:20" s="13" customFormat="1" x14ac:dyDescent="0.25">
      <c r="A47" s="16" t="s">
        <v>41</v>
      </c>
      <c r="B47" s="17"/>
      <c r="C47" s="18">
        <f t="shared" ref="C47:O47" si="6">+SUM(C43:C46)</f>
        <v>102180</v>
      </c>
      <c r="D47" s="19">
        <f t="shared" si="6"/>
        <v>92711</v>
      </c>
      <c r="E47" s="18">
        <f t="shared" si="6"/>
        <v>97373</v>
      </c>
      <c r="F47" s="18">
        <f t="shared" si="6"/>
        <v>99534</v>
      </c>
      <c r="G47" s="18">
        <f t="shared" si="6"/>
        <v>94941</v>
      </c>
      <c r="H47" s="18">
        <f t="shared" si="6"/>
        <v>254582</v>
      </c>
      <c r="I47" s="18">
        <f t="shared" si="6"/>
        <v>238268</v>
      </c>
      <c r="J47" s="18">
        <f t="shared" si="6"/>
        <v>216118</v>
      </c>
      <c r="K47" s="18">
        <f t="shared" si="6"/>
        <v>352939</v>
      </c>
      <c r="L47" s="33">
        <f t="shared" si="6"/>
        <v>315970</v>
      </c>
      <c r="M47" s="18">
        <f t="shared" si="6"/>
        <v>344555</v>
      </c>
      <c r="N47" s="18">
        <f t="shared" si="6"/>
        <v>383099</v>
      </c>
      <c r="O47" s="18">
        <f t="shared" si="6"/>
        <v>379557</v>
      </c>
      <c r="P47" s="18">
        <f>+SUM(P42:P46)</f>
        <v>391072</v>
      </c>
      <c r="Q47" s="18">
        <f>+SUM(Q42:Q46)</f>
        <v>405366</v>
      </c>
      <c r="R47" s="18">
        <f>+SUM(R42:R46)</f>
        <v>454866</v>
      </c>
      <c r="S47" s="18">
        <f>+SUM(S42:S46)</f>
        <v>373466</v>
      </c>
      <c r="T47" s="18">
        <f>+SUM(T42:T46)</f>
        <v>452866</v>
      </c>
    </row>
    <row r="48" spans="1:20" x14ac:dyDescent="0.25">
      <c r="C48" s="11"/>
      <c r="D48" s="12"/>
      <c r="E48" s="11"/>
      <c r="F48" s="11"/>
      <c r="G48" s="11"/>
      <c r="H48" s="11"/>
      <c r="I48" s="11"/>
      <c r="J48" s="11"/>
      <c r="K48" s="30"/>
      <c r="L48" s="33" t="s">
        <v>1</v>
      </c>
      <c r="M48" s="34"/>
      <c r="N48" s="34"/>
      <c r="O48" s="34"/>
      <c r="P48" s="34"/>
      <c r="Q48" s="34"/>
      <c r="R48" s="12"/>
      <c r="S48" s="12"/>
      <c r="T48" s="12"/>
    </row>
    <row r="49" spans="1:20" x14ac:dyDescent="0.25">
      <c r="A49" s="1" t="s">
        <v>42</v>
      </c>
      <c r="C49" s="11">
        <f>6000+2300</f>
        <v>8300</v>
      </c>
      <c r="D49" s="12">
        <f>4500+1500</f>
        <v>6000</v>
      </c>
      <c r="E49" s="11">
        <v>6000</v>
      </c>
      <c r="F49" s="11">
        <v>4700</v>
      </c>
      <c r="G49" s="11">
        <v>3000</v>
      </c>
      <c r="H49" s="11">
        <v>3525</v>
      </c>
      <c r="I49" s="11">
        <v>8000</v>
      </c>
      <c r="J49" s="11"/>
      <c r="K49" s="11">
        <f>36650+175000+10000</f>
        <v>221650</v>
      </c>
      <c r="L49" s="11">
        <v>180888</v>
      </c>
      <c r="M49" s="11">
        <v>1200</v>
      </c>
      <c r="N49" s="11">
        <v>29375</v>
      </c>
      <c r="O49" s="11"/>
      <c r="P49" s="11">
        <v>3900</v>
      </c>
      <c r="Q49" s="11">
        <v>0</v>
      </c>
      <c r="R49" s="12">
        <v>0</v>
      </c>
      <c r="S49" s="12"/>
      <c r="T49" s="12">
        <v>0</v>
      </c>
    </row>
    <row r="50" spans="1:20" x14ac:dyDescent="0.25">
      <c r="A50" s="1" t="s">
        <v>43</v>
      </c>
      <c r="C50" s="11"/>
      <c r="D50" s="12"/>
      <c r="E50" s="11"/>
      <c r="F50" s="11"/>
      <c r="G50" s="11"/>
      <c r="H50" s="11">
        <v>125000</v>
      </c>
      <c r="I50" s="11">
        <v>125000</v>
      </c>
      <c r="J50" s="11">
        <v>65000</v>
      </c>
      <c r="K50" s="11"/>
      <c r="L50" s="11"/>
      <c r="M50" s="11">
        <v>180000</v>
      </c>
      <c r="N50" s="11">
        <v>180000</v>
      </c>
      <c r="O50" s="11">
        <v>180000</v>
      </c>
      <c r="P50" s="11">
        <v>180000</v>
      </c>
      <c r="Q50" s="11">
        <v>180000</v>
      </c>
      <c r="R50" s="12">
        <v>185000</v>
      </c>
      <c r="S50" s="12">
        <v>185000</v>
      </c>
      <c r="T50" s="12">
        <v>185000</v>
      </c>
    </row>
    <row r="51" spans="1:20" x14ac:dyDescent="0.25">
      <c r="C51" s="11"/>
      <c r="D51" s="12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2"/>
      <c r="S51" s="12"/>
      <c r="T51" s="12"/>
    </row>
    <row r="52" spans="1:20" x14ac:dyDescent="0.25">
      <c r="C52" s="11"/>
      <c r="D52" s="12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2"/>
      <c r="S52" s="12"/>
      <c r="T52" s="12"/>
    </row>
    <row r="53" spans="1:20" x14ac:dyDescent="0.25">
      <c r="A53" s="13" t="s">
        <v>44</v>
      </c>
      <c r="C53" s="11">
        <v>81332</v>
      </c>
      <c r="D53" s="12">
        <v>93880</v>
      </c>
      <c r="E53" s="11">
        <f>+D55</f>
        <v>94211</v>
      </c>
      <c r="F53" s="11">
        <f>+E55-1</f>
        <v>106373</v>
      </c>
      <c r="G53" s="11">
        <f>+F55</f>
        <v>117334</v>
      </c>
      <c r="H53" s="11">
        <v>91941</v>
      </c>
      <c r="I53" s="11">
        <f t="shared" ref="I53:N53" si="7">+H55</f>
        <v>131057</v>
      </c>
      <c r="J53" s="11">
        <f t="shared" si="7"/>
        <v>105268</v>
      </c>
      <c r="K53" s="11">
        <f t="shared" si="7"/>
        <v>151118</v>
      </c>
      <c r="L53" s="11">
        <f t="shared" si="7"/>
        <v>131289</v>
      </c>
      <c r="M53" s="11">
        <f t="shared" si="7"/>
        <v>135082</v>
      </c>
      <c r="N53" s="11">
        <f t="shared" si="7"/>
        <v>163355</v>
      </c>
      <c r="O53" s="11">
        <f>+N55</f>
        <v>173724</v>
      </c>
      <c r="P53" s="11">
        <f>+O55</f>
        <v>199557</v>
      </c>
      <c r="Q53" s="11">
        <f>+P55</f>
        <v>207172</v>
      </c>
      <c r="R53" s="11">
        <f>+Q55</f>
        <v>225366</v>
      </c>
      <c r="S53" s="11">
        <f>+R55</f>
        <v>269866</v>
      </c>
      <c r="T53" s="11">
        <f>+R55</f>
        <v>269866</v>
      </c>
    </row>
    <row r="54" spans="1:20" x14ac:dyDescent="0.25">
      <c r="A54" s="1" t="s">
        <v>45</v>
      </c>
      <c r="C54" s="11">
        <f t="shared" ref="C54:N54" si="8">+C39</f>
        <v>18048</v>
      </c>
      <c r="D54" s="12">
        <f t="shared" si="8"/>
        <v>331</v>
      </c>
      <c r="E54" s="11">
        <f t="shared" si="8"/>
        <v>12163</v>
      </c>
      <c r="F54" s="11">
        <f t="shared" si="8"/>
        <v>10961</v>
      </c>
      <c r="G54" s="11">
        <f t="shared" si="8"/>
        <v>4607</v>
      </c>
      <c r="H54" s="11">
        <f t="shared" si="8"/>
        <v>39116</v>
      </c>
      <c r="I54" s="11">
        <f t="shared" si="8"/>
        <v>-25789</v>
      </c>
      <c r="J54" s="11">
        <f t="shared" si="8"/>
        <v>45850</v>
      </c>
      <c r="K54" s="11">
        <f t="shared" si="8"/>
        <v>-19829</v>
      </c>
      <c r="L54" s="11">
        <f t="shared" si="8"/>
        <v>3793</v>
      </c>
      <c r="M54" s="11">
        <f t="shared" si="8"/>
        <v>28273</v>
      </c>
      <c r="N54" s="11">
        <f t="shared" si="8"/>
        <v>10369</v>
      </c>
      <c r="O54" s="11">
        <f t="shared" ref="O54:T54" si="9">+O39</f>
        <v>25833</v>
      </c>
      <c r="P54" s="11">
        <f t="shared" si="9"/>
        <v>7615</v>
      </c>
      <c r="Q54" s="11">
        <f t="shared" si="9"/>
        <v>18194</v>
      </c>
      <c r="R54" s="11">
        <f t="shared" si="9"/>
        <v>44500</v>
      </c>
      <c r="S54" s="11">
        <f t="shared" si="9"/>
        <v>-81400</v>
      </c>
      <c r="T54" s="11">
        <f t="shared" si="9"/>
        <v>-12000</v>
      </c>
    </row>
    <row r="55" spans="1:20" x14ac:dyDescent="0.25">
      <c r="A55" s="1" t="s">
        <v>46</v>
      </c>
      <c r="C55" s="11">
        <f t="shared" ref="C55:K55" si="10">+C53+C54</f>
        <v>99380</v>
      </c>
      <c r="D55" s="12">
        <f t="shared" si="10"/>
        <v>94211</v>
      </c>
      <c r="E55" s="11">
        <f t="shared" si="10"/>
        <v>106374</v>
      </c>
      <c r="F55" s="11">
        <f t="shared" si="10"/>
        <v>117334</v>
      </c>
      <c r="G55" s="11">
        <f t="shared" si="10"/>
        <v>121941</v>
      </c>
      <c r="H55" s="11">
        <f t="shared" si="10"/>
        <v>131057</v>
      </c>
      <c r="I55" s="11">
        <f t="shared" si="10"/>
        <v>105268</v>
      </c>
      <c r="J55" s="11">
        <f t="shared" si="10"/>
        <v>151118</v>
      </c>
      <c r="K55" s="11">
        <f t="shared" si="10"/>
        <v>131289</v>
      </c>
      <c r="L55" s="11">
        <f t="shared" ref="L55:S55" si="11">+L53+L54</f>
        <v>135082</v>
      </c>
      <c r="M55" s="11">
        <f t="shared" si="11"/>
        <v>163355</v>
      </c>
      <c r="N55" s="11">
        <f t="shared" si="11"/>
        <v>173724</v>
      </c>
      <c r="O55" s="11">
        <f t="shared" si="11"/>
        <v>199557</v>
      </c>
      <c r="P55" s="11">
        <f t="shared" si="11"/>
        <v>207172</v>
      </c>
      <c r="Q55" s="11">
        <f>+Q53+Q54</f>
        <v>225366</v>
      </c>
      <c r="R55" s="11">
        <f t="shared" si="11"/>
        <v>269866</v>
      </c>
      <c r="S55" s="11">
        <f t="shared" si="11"/>
        <v>188466</v>
      </c>
      <c r="T55" s="11">
        <f>+T53+T54</f>
        <v>257866</v>
      </c>
    </row>
    <row r="56" spans="1:20" x14ac:dyDescent="0.25">
      <c r="C56" s="20"/>
      <c r="D56" s="21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</row>
    <row r="57" spans="1:20" s="13" customFormat="1" x14ac:dyDescent="0.25">
      <c r="A57" s="16" t="s">
        <v>47</v>
      </c>
      <c r="B57" s="17"/>
      <c r="C57" s="18">
        <f>+C49+C55</f>
        <v>107680</v>
      </c>
      <c r="D57" s="19">
        <f>+D49+D55</f>
        <v>100211</v>
      </c>
      <c r="E57" s="18">
        <f>+E49+E55</f>
        <v>112374</v>
      </c>
      <c r="F57" s="18">
        <f>+F49+F55</f>
        <v>122034</v>
      </c>
      <c r="G57" s="18">
        <f>+G49+G55</f>
        <v>124941</v>
      </c>
      <c r="H57" s="18">
        <f t="shared" ref="H57:S57" si="12">+H49+H50+H55</f>
        <v>259582</v>
      </c>
      <c r="I57" s="18">
        <f t="shared" si="12"/>
        <v>238268</v>
      </c>
      <c r="J57" s="18">
        <f t="shared" si="12"/>
        <v>216118</v>
      </c>
      <c r="K57" s="18">
        <f t="shared" si="12"/>
        <v>352939</v>
      </c>
      <c r="L57" s="18">
        <f t="shared" si="12"/>
        <v>315970</v>
      </c>
      <c r="M57" s="18">
        <f t="shared" si="12"/>
        <v>344555</v>
      </c>
      <c r="N57" s="18">
        <f t="shared" si="12"/>
        <v>383099</v>
      </c>
      <c r="O57" s="18">
        <f t="shared" si="12"/>
        <v>379557</v>
      </c>
      <c r="P57" s="18">
        <f t="shared" si="12"/>
        <v>391072</v>
      </c>
      <c r="Q57" s="18">
        <f t="shared" si="12"/>
        <v>405366</v>
      </c>
      <c r="R57" s="18">
        <f t="shared" si="12"/>
        <v>454866</v>
      </c>
      <c r="S57" s="18">
        <f t="shared" si="12"/>
        <v>373466</v>
      </c>
      <c r="T57" s="18">
        <f>+T49+T50+T55</f>
        <v>442866</v>
      </c>
    </row>
    <row r="58" spans="1:20" x14ac:dyDescent="0.25">
      <c r="D58" s="22"/>
      <c r="R58" s="22"/>
      <c r="S58" s="22"/>
      <c r="T58" s="22"/>
    </row>
    <row r="59" spans="1:20" ht="13.5" customHeight="1" x14ac:dyDescent="0.25">
      <c r="D59" s="22"/>
      <c r="R59" s="22"/>
      <c r="S59" s="22"/>
      <c r="T59" s="22"/>
    </row>
    <row r="60" spans="1:20" ht="0.75" customHeight="1" x14ac:dyDescent="0.25">
      <c r="A60" s="1" t="s">
        <v>49</v>
      </c>
      <c r="C60" s="1">
        <f>+C8/2</f>
        <v>59400</v>
      </c>
      <c r="D60" s="22">
        <f>+D8/2</f>
        <v>59600</v>
      </c>
      <c r="E60" s="1">
        <f>+E8/2</f>
        <v>55800</v>
      </c>
      <c r="F60" s="1">
        <f>+F8/2</f>
        <v>61000</v>
      </c>
      <c r="G60" s="1">
        <f>+G8/2-100</f>
        <v>54400</v>
      </c>
      <c r="H60" s="1">
        <f>+H8/2-100</f>
        <v>54800</v>
      </c>
      <c r="I60" s="1">
        <f>+I8/2</f>
        <v>54500</v>
      </c>
      <c r="R60" s="22">
        <f>+R8/2</f>
        <v>95700</v>
      </c>
      <c r="S60" s="22"/>
      <c r="T60" s="22">
        <f>+T8/2</f>
        <v>105750</v>
      </c>
    </row>
    <row r="61" spans="1:20" ht="1.5" customHeight="1" x14ac:dyDescent="0.25">
      <c r="A61" s="1" t="s">
        <v>50</v>
      </c>
      <c r="D61" s="22"/>
      <c r="H61" s="1">
        <v>45200</v>
      </c>
      <c r="I61" s="1">
        <v>34800</v>
      </c>
      <c r="R61" s="22">
        <v>45000</v>
      </c>
      <c r="S61" s="22"/>
      <c r="T61" s="22">
        <v>45000</v>
      </c>
    </row>
    <row r="62" spans="1:20" ht="3" customHeight="1" x14ac:dyDescent="0.25">
      <c r="A62" s="1" t="s">
        <v>51</v>
      </c>
      <c r="C62" s="1">
        <v>15000</v>
      </c>
      <c r="D62" s="22">
        <v>15000</v>
      </c>
      <c r="E62" s="1">
        <v>15000</v>
      </c>
      <c r="F62" s="1">
        <v>15000</v>
      </c>
      <c r="G62" s="1">
        <v>15000</v>
      </c>
      <c r="H62" s="1">
        <v>15000</v>
      </c>
      <c r="I62" s="1">
        <v>15000</v>
      </c>
      <c r="R62" s="22">
        <v>15000</v>
      </c>
      <c r="S62" s="22"/>
      <c r="T62" s="22">
        <v>15000</v>
      </c>
    </row>
    <row r="63" spans="1:20" ht="3" customHeight="1" x14ac:dyDescent="0.25">
      <c r="A63" s="13" t="s">
        <v>52</v>
      </c>
      <c r="C63" s="13">
        <f>+C60+C62</f>
        <v>74400</v>
      </c>
      <c r="D63" s="8">
        <f>+D60+D62</f>
        <v>74600</v>
      </c>
      <c r="E63" s="13">
        <f>+E60+E62</f>
        <v>70800</v>
      </c>
      <c r="F63" s="13">
        <f>+F60+F62</f>
        <v>76000</v>
      </c>
      <c r="G63" s="13">
        <f>+G60+G62</f>
        <v>69400</v>
      </c>
      <c r="H63" s="13">
        <f>+H60+H62+H61</f>
        <v>115000</v>
      </c>
      <c r="I63" s="13">
        <f>+I60+I62+I61</f>
        <v>104300</v>
      </c>
      <c r="J63" s="13"/>
      <c r="K63" s="13"/>
      <c r="L63" s="13"/>
      <c r="M63" s="13"/>
      <c r="N63" s="13"/>
      <c r="O63" s="13"/>
      <c r="P63" s="13"/>
      <c r="Q63" s="13"/>
      <c r="R63" s="13">
        <f>+R60+R62+R61</f>
        <v>155700</v>
      </c>
      <c r="S63" s="13"/>
      <c r="T63" s="13">
        <f>+T60+T62+T61</f>
        <v>165750</v>
      </c>
    </row>
    <row r="64" spans="1:20" ht="6.75" customHeight="1" x14ac:dyDescent="0.25"/>
    <row r="65" spans="1:13" x14ac:dyDescent="0.25">
      <c r="A65" s="1" t="s">
        <v>97</v>
      </c>
      <c r="C65" s="1" t="s">
        <v>1</v>
      </c>
      <c r="D65" s="1" t="s">
        <v>1</v>
      </c>
      <c r="E65" s="1" t="s">
        <v>1</v>
      </c>
      <c r="I65" s="1" t="s">
        <v>1</v>
      </c>
      <c r="J65" s="1" t="s">
        <v>1</v>
      </c>
      <c r="L65" s="1" t="s">
        <v>1</v>
      </c>
      <c r="M65" s="1" t="s">
        <v>1</v>
      </c>
    </row>
    <row r="66" spans="1:13" x14ac:dyDescent="0.25">
      <c r="A66" s="1" t="s">
        <v>56</v>
      </c>
      <c r="C66" s="1" t="s">
        <v>1</v>
      </c>
      <c r="D66" s="1" t="s">
        <v>1</v>
      </c>
      <c r="E66" s="1" t="s">
        <v>1</v>
      </c>
      <c r="I66" s="1" t="s">
        <v>1</v>
      </c>
      <c r="J66" s="1" t="s">
        <v>1</v>
      </c>
      <c r="L66" s="1" t="s">
        <v>1</v>
      </c>
      <c r="M66" s="1" t="s">
        <v>1</v>
      </c>
    </row>
    <row r="67" spans="1:13" x14ac:dyDescent="0.25">
      <c r="A67" s="1" t="s">
        <v>1</v>
      </c>
      <c r="C67" s="1" t="s">
        <v>1</v>
      </c>
      <c r="D67" s="1" t="s">
        <v>1</v>
      </c>
      <c r="E67" s="1" t="s">
        <v>1</v>
      </c>
    </row>
  </sheetData>
  <sheetProtection selectLockedCells="1" selectUnlockedCells="1"/>
  <mergeCells count="1">
    <mergeCell ref="A1:R1"/>
  </mergeCells>
  <printOptions gridLines="1"/>
  <pageMargins left="0.70833333333333337" right="0.70833333333333337" top="0.74791666666666667" bottom="0.74791666666666667" header="0.51180555555555551" footer="0.51180555555555551"/>
  <pageSetup paperSize="9" scale="79" firstPageNumber="0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67"/>
  <sheetViews>
    <sheetView workbookViewId="0">
      <selection activeCell="T59" sqref="T59"/>
    </sheetView>
  </sheetViews>
  <sheetFormatPr baseColWidth="10" defaultColWidth="11.453125" defaultRowHeight="11.5" x14ac:dyDescent="0.25"/>
  <cols>
    <col min="1" max="1" width="37.26953125" style="1" customWidth="1"/>
    <col min="2" max="2" width="10" style="35" customWidth="1"/>
    <col min="3" max="14" width="0" style="1" hidden="1" customWidth="1"/>
    <col min="15" max="17" width="9.54296875" style="1" customWidth="1"/>
    <col min="18" max="20" width="9.7265625" style="1" customWidth="1"/>
    <col min="21" max="21" width="13.1796875" style="1" customWidth="1"/>
    <col min="22" max="16384" width="11.453125" style="1"/>
  </cols>
  <sheetData>
    <row r="1" spans="1:20" s="2" customFormat="1" ht="17.5" x14ac:dyDescent="0.35">
      <c r="A1" s="85" t="s">
        <v>88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</row>
    <row r="3" spans="1:20" x14ac:dyDescent="0.25">
      <c r="D3" s="36" t="s">
        <v>1</v>
      </c>
    </row>
    <row r="4" spans="1:20" s="13" customFormat="1" x14ac:dyDescent="0.25">
      <c r="A4" s="4" t="s">
        <v>2</v>
      </c>
      <c r="B4" s="37" t="s">
        <v>98</v>
      </c>
      <c r="C4" s="6" t="s">
        <v>3</v>
      </c>
      <c r="D4" s="6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75</v>
      </c>
      <c r="J4" s="7">
        <v>40178</v>
      </c>
      <c r="K4" s="7">
        <v>40543</v>
      </c>
      <c r="L4" s="7">
        <v>40908</v>
      </c>
      <c r="M4" s="7">
        <v>41274</v>
      </c>
      <c r="N4" s="7">
        <v>41639</v>
      </c>
      <c r="O4" s="7">
        <v>42004</v>
      </c>
      <c r="P4" s="7">
        <v>42369</v>
      </c>
      <c r="Q4" s="7">
        <v>42735</v>
      </c>
      <c r="R4" s="7">
        <v>43100</v>
      </c>
      <c r="S4" s="7">
        <v>43465</v>
      </c>
      <c r="T4" s="7" t="s">
        <v>89</v>
      </c>
    </row>
    <row r="5" spans="1:20" x14ac:dyDescent="0.25">
      <c r="C5" s="38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9"/>
      <c r="R5" s="40"/>
      <c r="S5" s="40"/>
      <c r="T5" s="40"/>
    </row>
    <row r="6" spans="1:20" x14ac:dyDescent="0.25">
      <c r="A6" s="1" t="s">
        <v>10</v>
      </c>
      <c r="B6" s="35">
        <v>3920</v>
      </c>
      <c r="C6" s="41">
        <v>148800</v>
      </c>
      <c r="D6" s="41">
        <v>127200</v>
      </c>
      <c r="E6" s="41">
        <v>129600</v>
      </c>
      <c r="F6" s="41">
        <v>145400</v>
      </c>
      <c r="G6" s="41">
        <v>125600</v>
      </c>
      <c r="H6" s="41">
        <v>126200</v>
      </c>
      <c r="I6" s="41">
        <v>133800</v>
      </c>
      <c r="J6" s="41">
        <v>204300</v>
      </c>
      <c r="K6" s="41">
        <v>201000</v>
      </c>
      <c r="L6" s="41">
        <v>206000</v>
      </c>
      <c r="M6" s="41">
        <v>204000</v>
      </c>
      <c r="N6" s="41">
        <v>198900</v>
      </c>
      <c r="O6" s="41">
        <v>207600</v>
      </c>
      <c r="P6" s="41">
        <f>209700-3900</f>
        <v>205800</v>
      </c>
      <c r="Q6" s="42">
        <v>212400</v>
      </c>
      <c r="R6" s="40">
        <v>221100</v>
      </c>
      <c r="S6" s="40">
        <v>224401</v>
      </c>
      <c r="T6" s="40">
        <v>211500</v>
      </c>
    </row>
    <row r="7" spans="1:20" x14ac:dyDescent="0.25">
      <c r="A7" s="1" t="s">
        <v>90</v>
      </c>
      <c r="C7" s="41">
        <v>-30000</v>
      </c>
      <c r="D7" s="41">
        <f>-10600+2600</f>
        <v>-8000</v>
      </c>
      <c r="E7" s="41">
        <v>-18000</v>
      </c>
      <c r="F7" s="41">
        <v>-23400</v>
      </c>
      <c r="G7" s="41">
        <v>-16600</v>
      </c>
      <c r="H7" s="41">
        <v>-16400</v>
      </c>
      <c r="I7" s="41">
        <v>-24800</v>
      </c>
      <c r="J7" s="41">
        <v>-4550</v>
      </c>
      <c r="K7" s="41">
        <v>-11700</v>
      </c>
      <c r="L7" s="41">
        <v>-22500</v>
      </c>
      <c r="M7" s="41">
        <v>-13200</v>
      </c>
      <c r="N7" s="41">
        <v>-9900</v>
      </c>
      <c r="O7" s="41">
        <v>-30770</v>
      </c>
      <c r="P7" s="41">
        <v>1700</v>
      </c>
      <c r="Q7" s="42"/>
      <c r="R7" s="40">
        <v>-29700</v>
      </c>
      <c r="S7" s="40">
        <v>-8920</v>
      </c>
      <c r="T7" s="40"/>
    </row>
    <row r="8" spans="1:20" x14ac:dyDescent="0.25">
      <c r="A8" s="13" t="s">
        <v>12</v>
      </c>
      <c r="C8" s="43">
        <f t="shared" ref="C8:S8" si="0">+C6+C7</f>
        <v>118800</v>
      </c>
      <c r="D8" s="43">
        <f t="shared" si="0"/>
        <v>119200</v>
      </c>
      <c r="E8" s="43">
        <f t="shared" si="0"/>
        <v>111600</v>
      </c>
      <c r="F8" s="43">
        <f t="shared" si="0"/>
        <v>122000</v>
      </c>
      <c r="G8" s="43">
        <f t="shared" si="0"/>
        <v>109000</v>
      </c>
      <c r="H8" s="43">
        <f t="shared" si="0"/>
        <v>109800</v>
      </c>
      <c r="I8" s="43">
        <f t="shared" si="0"/>
        <v>109000</v>
      </c>
      <c r="J8" s="43">
        <f t="shared" si="0"/>
        <v>199750</v>
      </c>
      <c r="K8" s="43">
        <f t="shared" si="0"/>
        <v>189300</v>
      </c>
      <c r="L8" s="43">
        <f t="shared" si="0"/>
        <v>183500</v>
      </c>
      <c r="M8" s="43">
        <f t="shared" si="0"/>
        <v>190800</v>
      </c>
      <c r="N8" s="43">
        <f t="shared" si="0"/>
        <v>189000</v>
      </c>
      <c r="O8" s="43">
        <f t="shared" si="0"/>
        <v>176830</v>
      </c>
      <c r="P8" s="43">
        <f t="shared" si="0"/>
        <v>207500</v>
      </c>
      <c r="Q8" s="44">
        <f t="shared" si="0"/>
        <v>212400</v>
      </c>
      <c r="R8" s="45">
        <f t="shared" si="0"/>
        <v>191400</v>
      </c>
      <c r="S8" s="45">
        <f t="shared" si="0"/>
        <v>215481</v>
      </c>
      <c r="T8" s="45">
        <f>+T6+T7</f>
        <v>211500</v>
      </c>
    </row>
    <row r="9" spans="1:20" x14ac:dyDescent="0.25">
      <c r="A9" s="1" t="s">
        <v>1</v>
      </c>
      <c r="C9" s="41">
        <v>1400</v>
      </c>
      <c r="D9" s="41">
        <v>6800</v>
      </c>
      <c r="E9" s="41">
        <v>4400</v>
      </c>
      <c r="F9" s="41">
        <v>10000</v>
      </c>
      <c r="G9" s="41">
        <v>4000</v>
      </c>
      <c r="H9" s="41">
        <v>12000</v>
      </c>
      <c r="I9" s="41">
        <v>13200</v>
      </c>
      <c r="J9" s="41"/>
      <c r="K9" s="41">
        <v>2800</v>
      </c>
      <c r="L9" s="41"/>
      <c r="M9" s="41" t="s">
        <v>1</v>
      </c>
      <c r="N9" s="41"/>
      <c r="O9" s="41"/>
      <c r="P9" s="41"/>
      <c r="Q9" s="42"/>
      <c r="R9" s="40"/>
      <c r="S9" s="40"/>
      <c r="T9" s="40"/>
    </row>
    <row r="10" spans="1:20" x14ac:dyDescent="0.25">
      <c r="A10" s="1" t="s">
        <v>14</v>
      </c>
      <c r="B10" s="35">
        <v>3400</v>
      </c>
      <c r="C10" s="41"/>
      <c r="D10" s="41"/>
      <c r="E10" s="41"/>
      <c r="F10" s="41"/>
      <c r="G10" s="41"/>
      <c r="H10" s="41">
        <v>50000</v>
      </c>
      <c r="I10" s="41">
        <v>40000</v>
      </c>
      <c r="J10" s="41">
        <v>40000</v>
      </c>
      <c r="K10" s="41">
        <v>40000</v>
      </c>
      <c r="L10" s="41">
        <v>40000</v>
      </c>
      <c r="M10" s="41">
        <v>30000</v>
      </c>
      <c r="N10" s="41">
        <v>35000</v>
      </c>
      <c r="O10" s="41">
        <v>45000</v>
      </c>
      <c r="P10" s="41">
        <v>35000</v>
      </c>
      <c r="Q10" s="42">
        <v>35000</v>
      </c>
      <c r="R10" s="40">
        <v>50000</v>
      </c>
      <c r="S10" s="40">
        <v>0</v>
      </c>
      <c r="T10" s="40">
        <v>40000</v>
      </c>
    </row>
    <row r="11" spans="1:20" x14ac:dyDescent="0.25">
      <c r="A11" s="1" t="s">
        <v>15</v>
      </c>
      <c r="B11" s="35">
        <v>3250</v>
      </c>
      <c r="C11" s="41">
        <v>2910</v>
      </c>
      <c r="D11" s="41">
        <v>2240</v>
      </c>
      <c r="E11" s="41">
        <v>700</v>
      </c>
      <c r="F11" s="41">
        <v>2200</v>
      </c>
      <c r="G11" s="41">
        <v>794</v>
      </c>
      <c r="H11" s="41">
        <v>1580</v>
      </c>
      <c r="I11" s="41">
        <v>2750</v>
      </c>
      <c r="J11" s="41">
        <v>6460</v>
      </c>
      <c r="K11" s="41">
        <v>5550</v>
      </c>
      <c r="L11" s="41">
        <v>4080</v>
      </c>
      <c r="M11" s="41">
        <v>8400</v>
      </c>
      <c r="N11" s="41">
        <v>13415</v>
      </c>
      <c r="O11" s="41">
        <v>8475</v>
      </c>
      <c r="P11" s="41">
        <v>11125</v>
      </c>
      <c r="Q11" s="42">
        <v>10191</v>
      </c>
      <c r="R11" s="40">
        <v>11094</v>
      </c>
      <c r="S11" s="40">
        <v>10800</v>
      </c>
      <c r="T11" s="40">
        <v>10000</v>
      </c>
    </row>
    <row r="12" spans="1:20" x14ac:dyDescent="0.25">
      <c r="A12" s="1" t="s">
        <v>16</v>
      </c>
      <c r="B12" s="35">
        <v>3948.3989999999999</v>
      </c>
      <c r="C12" s="41">
        <v>5700</v>
      </c>
      <c r="D12" s="41">
        <v>0</v>
      </c>
      <c r="E12" s="41"/>
      <c r="F12" s="41"/>
      <c r="G12" s="41">
        <v>1315</v>
      </c>
      <c r="H12" s="41">
        <v>18750</v>
      </c>
      <c r="I12" s="41">
        <f>5406+14000</f>
        <v>19406</v>
      </c>
      <c r="J12" s="41">
        <v>23339</v>
      </c>
      <c r="K12" s="41">
        <v>219345</v>
      </c>
      <c r="L12" s="41">
        <v>13897</v>
      </c>
      <c r="M12" s="41">
        <v>11539</v>
      </c>
      <c r="N12" s="41">
        <v>21134</v>
      </c>
      <c r="O12" s="41">
        <v>13401</v>
      </c>
      <c r="P12" s="41">
        <v>20348</v>
      </c>
      <c r="Q12" s="42">
        <v>21018</v>
      </c>
      <c r="R12" s="40">
        <v>14249</v>
      </c>
      <c r="S12" s="40">
        <v>11019</v>
      </c>
      <c r="T12" s="40">
        <v>10000</v>
      </c>
    </row>
    <row r="13" spans="1:20" s="13" customFormat="1" x14ac:dyDescent="0.25">
      <c r="A13" s="16" t="s">
        <v>17</v>
      </c>
      <c r="B13" s="46"/>
      <c r="C13" s="47">
        <f t="shared" ref="C13:S13" si="1">+SUM(C8:C12)</f>
        <v>128810</v>
      </c>
      <c r="D13" s="47">
        <f t="shared" si="1"/>
        <v>128240</v>
      </c>
      <c r="E13" s="47">
        <f t="shared" si="1"/>
        <v>116700</v>
      </c>
      <c r="F13" s="47">
        <f t="shared" si="1"/>
        <v>134200</v>
      </c>
      <c r="G13" s="47">
        <f t="shared" si="1"/>
        <v>115109</v>
      </c>
      <c r="H13" s="47">
        <f t="shared" si="1"/>
        <v>192130</v>
      </c>
      <c r="I13" s="47">
        <f t="shared" si="1"/>
        <v>184356</v>
      </c>
      <c r="J13" s="47">
        <f t="shared" si="1"/>
        <v>269549</v>
      </c>
      <c r="K13" s="47">
        <f t="shared" si="1"/>
        <v>456995</v>
      </c>
      <c r="L13" s="47">
        <f t="shared" si="1"/>
        <v>241477</v>
      </c>
      <c r="M13" s="47">
        <f t="shared" si="1"/>
        <v>240739</v>
      </c>
      <c r="N13" s="47">
        <f t="shared" si="1"/>
        <v>258549</v>
      </c>
      <c r="O13" s="47">
        <f t="shared" si="1"/>
        <v>243706</v>
      </c>
      <c r="P13" s="47">
        <f t="shared" si="1"/>
        <v>273973</v>
      </c>
      <c r="Q13" s="48">
        <f t="shared" si="1"/>
        <v>278609</v>
      </c>
      <c r="R13" s="49">
        <f t="shared" si="1"/>
        <v>266743</v>
      </c>
      <c r="S13" s="49">
        <f t="shared" si="1"/>
        <v>237300</v>
      </c>
      <c r="T13" s="49">
        <f>+SUM(T8:T12)</f>
        <v>271500</v>
      </c>
    </row>
    <row r="14" spans="1:20" x14ac:dyDescent="0.25"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2"/>
      <c r="R14" s="40"/>
      <c r="S14" s="40"/>
      <c r="T14" s="40"/>
    </row>
    <row r="15" spans="1:20" x14ac:dyDescent="0.25">
      <c r="A15" s="1" t="s">
        <v>18</v>
      </c>
      <c r="C15" s="41">
        <v>74400</v>
      </c>
      <c r="D15" s="41">
        <f>73100+1500</f>
        <v>74600</v>
      </c>
      <c r="E15" s="41">
        <v>70800</v>
      </c>
      <c r="F15" s="41">
        <v>76000</v>
      </c>
      <c r="G15" s="41">
        <v>69400</v>
      </c>
      <c r="H15" s="41"/>
      <c r="I15" s="41">
        <v>0</v>
      </c>
      <c r="J15" s="41">
        <v>130000</v>
      </c>
      <c r="K15" s="41"/>
      <c r="L15" s="41"/>
      <c r="M15" s="41"/>
      <c r="N15" s="41"/>
      <c r="O15" s="42"/>
      <c r="P15" s="42"/>
      <c r="Q15" s="42"/>
      <c r="R15" s="40">
        <v>0</v>
      </c>
      <c r="S15" s="40"/>
      <c r="T15" s="40">
        <v>0</v>
      </c>
    </row>
    <row r="16" spans="1:20" x14ac:dyDescent="0.25">
      <c r="A16" s="1" t="s">
        <v>77</v>
      </c>
      <c r="C16" s="41"/>
      <c r="D16" s="41"/>
      <c r="E16" s="41"/>
      <c r="F16" s="41"/>
      <c r="G16" s="41"/>
      <c r="H16" s="41">
        <v>115000</v>
      </c>
      <c r="I16" s="41">
        <v>110000</v>
      </c>
      <c r="J16" s="41">
        <v>55000</v>
      </c>
      <c r="K16" s="41">
        <v>175000</v>
      </c>
      <c r="L16" s="43">
        <v>170000</v>
      </c>
      <c r="M16" s="43">
        <v>170000</v>
      </c>
      <c r="N16" s="43">
        <v>170000</v>
      </c>
      <c r="O16" s="44">
        <v>170000</v>
      </c>
      <c r="P16" s="44">
        <v>170000</v>
      </c>
      <c r="Q16" s="44">
        <v>170000</v>
      </c>
      <c r="R16" s="45">
        <v>170000</v>
      </c>
      <c r="S16" s="45">
        <v>170000</v>
      </c>
      <c r="T16" s="50"/>
    </row>
    <row r="17" spans="1:20" x14ac:dyDescent="0.25">
      <c r="A17" s="1" t="s">
        <v>21</v>
      </c>
      <c r="B17" s="35">
        <v>7190</v>
      </c>
      <c r="C17" s="41">
        <v>2000</v>
      </c>
      <c r="D17" s="41">
        <v>3000</v>
      </c>
      <c r="E17" s="41">
        <v>3000</v>
      </c>
      <c r="F17" s="41">
        <v>3000</v>
      </c>
      <c r="G17" s="41">
        <v>3000</v>
      </c>
      <c r="H17" s="41"/>
      <c r="I17" s="41">
        <v>15000</v>
      </c>
      <c r="J17" s="41">
        <v>10000</v>
      </c>
      <c r="K17" s="41">
        <v>10000</v>
      </c>
      <c r="L17" s="43">
        <v>10000</v>
      </c>
      <c r="M17" s="43">
        <v>10000</v>
      </c>
      <c r="N17" s="43">
        <v>10000</v>
      </c>
      <c r="O17" s="44">
        <v>10000</v>
      </c>
      <c r="P17" s="44">
        <v>10000</v>
      </c>
      <c r="Q17" s="44">
        <v>10000</v>
      </c>
      <c r="R17" s="45">
        <v>10000</v>
      </c>
      <c r="S17" s="45">
        <v>10000</v>
      </c>
      <c r="T17" s="45">
        <v>10000</v>
      </c>
    </row>
    <row r="18" spans="1:20" x14ac:dyDescent="0.25">
      <c r="A18" s="1" t="s">
        <v>22</v>
      </c>
      <c r="B18" s="35">
        <v>7190</v>
      </c>
      <c r="C18" s="41">
        <v>2000</v>
      </c>
      <c r="D18" s="41">
        <v>3000</v>
      </c>
      <c r="E18" s="41">
        <v>3000</v>
      </c>
      <c r="F18" s="41">
        <v>3000</v>
      </c>
      <c r="G18" s="41">
        <v>3000</v>
      </c>
      <c r="H18" s="41">
        <v>5000</v>
      </c>
      <c r="I18" s="41">
        <v>0</v>
      </c>
      <c r="J18" s="41"/>
      <c r="K18" s="41"/>
      <c r="L18" s="41"/>
      <c r="M18" s="41"/>
      <c r="N18" s="41"/>
      <c r="O18" s="41"/>
      <c r="P18" s="41"/>
      <c r="Q18" s="42">
        <v>5000</v>
      </c>
      <c r="R18" s="45">
        <v>5000</v>
      </c>
      <c r="S18" s="45">
        <v>5000</v>
      </c>
      <c r="T18" s="45">
        <v>5000</v>
      </c>
    </row>
    <row r="19" spans="1:20" x14ac:dyDescent="0.25">
      <c r="A19" s="1" t="s">
        <v>15</v>
      </c>
      <c r="B19" s="35">
        <v>6581</v>
      </c>
      <c r="C19" s="41"/>
      <c r="D19" s="41">
        <v>12000</v>
      </c>
      <c r="E19" s="41"/>
      <c r="F19" s="41"/>
      <c r="G19" s="41">
        <v>0</v>
      </c>
      <c r="H19" s="41"/>
      <c r="I19" s="41">
        <v>12324</v>
      </c>
      <c r="J19" s="41"/>
      <c r="K19" s="41">
        <v>2950</v>
      </c>
      <c r="L19" s="41"/>
      <c r="M19" s="41"/>
      <c r="N19" s="41"/>
      <c r="O19" s="41">
        <v>4850</v>
      </c>
      <c r="P19" s="41">
        <v>2250</v>
      </c>
      <c r="Q19" s="42">
        <v>3000</v>
      </c>
      <c r="R19" s="40">
        <v>3200</v>
      </c>
      <c r="S19" s="40">
        <v>1719</v>
      </c>
      <c r="T19" s="40">
        <v>10000</v>
      </c>
    </row>
    <row r="20" spans="1:20" x14ac:dyDescent="0.25">
      <c r="A20" s="1" t="s">
        <v>92</v>
      </c>
      <c r="C20" s="41"/>
      <c r="D20" s="41"/>
      <c r="E20" s="41"/>
      <c r="F20" s="41"/>
      <c r="G20" s="41"/>
      <c r="H20" s="41"/>
      <c r="I20" s="41"/>
      <c r="J20" s="41" t="s">
        <v>1</v>
      </c>
      <c r="K20" s="41"/>
      <c r="L20" s="41">
        <v>19000</v>
      </c>
      <c r="M20" s="41"/>
      <c r="N20" s="41">
        <v>40300</v>
      </c>
      <c r="O20" s="41">
        <v>3428</v>
      </c>
      <c r="P20" s="41"/>
      <c r="Q20" s="42">
        <v>21313</v>
      </c>
      <c r="R20" s="40">
        <v>0</v>
      </c>
      <c r="S20" s="40">
        <v>1734</v>
      </c>
      <c r="T20" s="40"/>
    </row>
    <row r="21" spans="1:20" x14ac:dyDescent="0.25">
      <c r="A21" s="51" t="s">
        <v>99</v>
      </c>
      <c r="B21" s="35" t="s">
        <v>100</v>
      </c>
      <c r="C21" s="41"/>
      <c r="D21" s="41"/>
      <c r="E21" s="41"/>
      <c r="F21" s="41">
        <v>9105</v>
      </c>
      <c r="G21" s="41">
        <v>0</v>
      </c>
      <c r="H21" s="41">
        <v>5962</v>
      </c>
      <c r="I21" s="41">
        <v>36162</v>
      </c>
      <c r="J21" s="41">
        <v>0</v>
      </c>
      <c r="K21" s="41"/>
      <c r="L21" s="41"/>
      <c r="M21" s="41"/>
      <c r="N21" s="41"/>
      <c r="O21" s="42"/>
      <c r="P21" s="42"/>
      <c r="Q21" s="42"/>
      <c r="R21" s="40">
        <v>0</v>
      </c>
      <c r="S21" s="40">
        <v>9900</v>
      </c>
      <c r="T21" s="40">
        <v>37500</v>
      </c>
    </row>
    <row r="22" spans="1:20" x14ac:dyDescent="0.25">
      <c r="A22" s="1" t="s">
        <v>94</v>
      </c>
      <c r="C22" s="41"/>
      <c r="D22" s="41"/>
      <c r="E22" s="41"/>
      <c r="F22" s="41"/>
      <c r="G22" s="41"/>
      <c r="H22" s="41"/>
      <c r="I22" s="41"/>
      <c r="J22" s="41"/>
      <c r="K22" s="41">
        <v>200106</v>
      </c>
      <c r="L22" s="41"/>
      <c r="M22" s="41"/>
      <c r="N22" s="41"/>
      <c r="O22" s="41"/>
      <c r="P22" s="41" t="s">
        <v>1</v>
      </c>
      <c r="Q22" s="42">
        <v>0</v>
      </c>
      <c r="R22" s="40">
        <v>0</v>
      </c>
      <c r="S22" s="40">
        <v>2250</v>
      </c>
      <c r="T22" s="40">
        <v>0</v>
      </c>
    </row>
    <row r="23" spans="1:20" x14ac:dyDescent="0.25">
      <c r="A23" s="1" t="s">
        <v>101</v>
      </c>
      <c r="B23" s="35">
        <v>6720</v>
      </c>
      <c r="C23" s="41"/>
      <c r="D23" s="41"/>
      <c r="E23" s="41"/>
      <c r="F23" s="41"/>
      <c r="G23" s="41"/>
      <c r="H23" s="41"/>
      <c r="I23" s="41"/>
      <c r="J23" s="41"/>
      <c r="K23" s="41">
        <v>52800</v>
      </c>
      <c r="L23" s="41"/>
      <c r="M23" s="41"/>
      <c r="N23" s="41"/>
      <c r="O23" s="41"/>
      <c r="P23" s="41">
        <v>21879</v>
      </c>
      <c r="Q23" s="42"/>
      <c r="R23" s="40">
        <v>0</v>
      </c>
      <c r="S23" s="40"/>
      <c r="T23" s="40">
        <v>50000</v>
      </c>
    </row>
    <row r="24" spans="1:20" x14ac:dyDescent="0.25">
      <c r="A24" s="1" t="s">
        <v>25</v>
      </c>
      <c r="C24" s="41"/>
      <c r="D24" s="41">
        <v>999</v>
      </c>
      <c r="E24" s="41"/>
      <c r="F24" s="41">
        <v>0</v>
      </c>
      <c r="G24" s="41">
        <v>5291</v>
      </c>
      <c r="H24" s="41"/>
      <c r="I24" s="41">
        <v>10655</v>
      </c>
      <c r="J24" s="41">
        <v>5204</v>
      </c>
      <c r="K24" s="41"/>
      <c r="L24" s="41"/>
      <c r="M24" s="41"/>
      <c r="N24" s="41"/>
      <c r="O24" s="41"/>
      <c r="P24" s="41">
        <v>9080</v>
      </c>
      <c r="Q24" s="42"/>
      <c r="R24" s="40">
        <v>0</v>
      </c>
      <c r="S24" s="40"/>
      <c r="T24" s="40"/>
    </row>
    <row r="25" spans="1:20" x14ac:dyDescent="0.25">
      <c r="A25" s="1" t="s">
        <v>26</v>
      </c>
      <c r="B25" s="35">
        <v>6940</v>
      </c>
      <c r="C25" s="41">
        <f>11227+4500</f>
        <v>15727</v>
      </c>
      <c r="D25" s="41">
        <v>8214</v>
      </c>
      <c r="E25" s="41">
        <v>7353</v>
      </c>
      <c r="F25" s="41">
        <v>7608</v>
      </c>
      <c r="G25" s="41">
        <v>6480</v>
      </c>
      <c r="H25" s="41">
        <f>6671+525</f>
        <v>7196</v>
      </c>
      <c r="I25" s="41">
        <v>2911</v>
      </c>
      <c r="J25" s="41">
        <v>2250</v>
      </c>
      <c r="K25" s="41">
        <v>5850</v>
      </c>
      <c r="L25" s="41">
        <v>5791</v>
      </c>
      <c r="M25" s="41">
        <v>4582</v>
      </c>
      <c r="N25" s="41">
        <v>4416</v>
      </c>
      <c r="O25" s="41">
        <v>4920</v>
      </c>
      <c r="P25" s="41">
        <v>6944</v>
      </c>
      <c r="Q25" s="42">
        <v>5960</v>
      </c>
      <c r="R25" s="40">
        <v>8250</v>
      </c>
      <c r="S25" s="40">
        <v>9267</v>
      </c>
      <c r="T25" s="40">
        <v>11000</v>
      </c>
    </row>
    <row r="26" spans="1:20" x14ac:dyDescent="0.25">
      <c r="A26" s="1" t="s">
        <v>27</v>
      </c>
      <c r="C26" s="41">
        <v>1950</v>
      </c>
      <c r="D26" s="41">
        <v>2475</v>
      </c>
      <c r="E26" s="41">
        <v>2475</v>
      </c>
      <c r="F26" s="41">
        <v>2750</v>
      </c>
      <c r="G26" s="41">
        <v>2750</v>
      </c>
      <c r="H26" s="41">
        <v>2802</v>
      </c>
      <c r="I26" s="41">
        <v>3800</v>
      </c>
      <c r="J26" s="41">
        <v>3800</v>
      </c>
      <c r="K26" s="41">
        <v>4280</v>
      </c>
      <c r="L26" s="41">
        <v>4280</v>
      </c>
      <c r="M26" s="41">
        <v>4190</v>
      </c>
      <c r="N26" s="41">
        <v>4280</v>
      </c>
      <c r="O26" s="41">
        <v>5420</v>
      </c>
      <c r="P26" s="41">
        <v>5420</v>
      </c>
      <c r="Q26" s="42">
        <v>5420</v>
      </c>
      <c r="R26" s="40">
        <v>5420</v>
      </c>
      <c r="S26" s="40"/>
      <c r="T26" s="40"/>
    </row>
    <row r="27" spans="1:20" x14ac:dyDescent="0.25">
      <c r="A27" s="1" t="s">
        <v>28</v>
      </c>
      <c r="B27" s="35">
        <v>7700</v>
      </c>
      <c r="C27" s="41">
        <v>5020</v>
      </c>
      <c r="D27" s="41">
        <v>5586</v>
      </c>
      <c r="E27" s="41">
        <v>6158</v>
      </c>
      <c r="F27" s="41">
        <v>7228</v>
      </c>
      <c r="G27" s="41">
        <v>4578</v>
      </c>
      <c r="H27" s="41">
        <v>7116</v>
      </c>
      <c r="I27" s="41">
        <v>8935</v>
      </c>
      <c r="J27" s="41">
        <v>7193</v>
      </c>
      <c r="K27" s="41">
        <v>5343</v>
      </c>
      <c r="L27" s="41">
        <v>11935</v>
      </c>
      <c r="M27" s="41">
        <v>6746</v>
      </c>
      <c r="N27" s="41">
        <v>7124</v>
      </c>
      <c r="O27" s="41">
        <v>10899</v>
      </c>
      <c r="P27" s="41">
        <v>16114</v>
      </c>
      <c r="Q27" s="42">
        <v>15175</v>
      </c>
      <c r="R27" s="40">
        <v>2612</v>
      </c>
      <c r="S27" s="40">
        <v>13303</v>
      </c>
      <c r="T27" s="40">
        <v>15000</v>
      </c>
    </row>
    <row r="28" spans="1:20" x14ac:dyDescent="0.25">
      <c r="A28" s="1" t="s">
        <v>29</v>
      </c>
      <c r="B28" s="35">
        <v>7710</v>
      </c>
      <c r="C28" s="41">
        <v>10086</v>
      </c>
      <c r="D28" s="41">
        <v>8076</v>
      </c>
      <c r="E28" s="41">
        <v>7488</v>
      </c>
      <c r="F28" s="41">
        <v>8365</v>
      </c>
      <c r="G28" s="41">
        <v>6990</v>
      </c>
      <c r="H28" s="41">
        <v>7460</v>
      </c>
      <c r="I28" s="41">
        <v>6500</v>
      </c>
      <c r="J28" s="41">
        <v>3860</v>
      </c>
      <c r="K28" s="41">
        <v>4273</v>
      </c>
      <c r="L28" s="41">
        <v>6038</v>
      </c>
      <c r="M28" s="41">
        <v>2960</v>
      </c>
      <c r="N28" s="41">
        <v>3965</v>
      </c>
      <c r="O28" s="41">
        <v>2420</v>
      </c>
      <c r="P28" s="41">
        <v>6762</v>
      </c>
      <c r="Q28" s="42">
        <v>2835</v>
      </c>
      <c r="R28" s="40">
        <v>3120</v>
      </c>
      <c r="S28" s="40">
        <v>4410</v>
      </c>
      <c r="T28" s="40">
        <v>5000</v>
      </c>
    </row>
    <row r="29" spans="1:20" x14ac:dyDescent="0.25">
      <c r="A29" s="1" t="s">
        <v>82</v>
      </c>
      <c r="B29" s="35" t="s">
        <v>102</v>
      </c>
      <c r="C29" s="41"/>
      <c r="D29" s="41"/>
      <c r="E29" s="41"/>
      <c r="F29" s="41"/>
      <c r="G29" s="41"/>
      <c r="H29" s="41"/>
      <c r="I29" s="41"/>
      <c r="J29" s="41">
        <v>5954</v>
      </c>
      <c r="K29" s="41">
        <v>16314</v>
      </c>
      <c r="L29" s="41">
        <v>7766</v>
      </c>
      <c r="M29" s="41">
        <v>11592</v>
      </c>
      <c r="N29" s="41">
        <v>5491</v>
      </c>
      <c r="O29" s="41">
        <v>2008</v>
      </c>
      <c r="P29" s="41">
        <v>2452</v>
      </c>
      <c r="Q29" s="42">
        <v>7065</v>
      </c>
      <c r="R29" s="40">
        <v>6161</v>
      </c>
      <c r="S29" s="40">
        <v>915</v>
      </c>
      <c r="T29" s="40">
        <v>2000</v>
      </c>
    </row>
    <row r="30" spans="1:20" x14ac:dyDescent="0.25">
      <c r="A30" s="1" t="s">
        <v>30</v>
      </c>
      <c r="B30" s="35">
        <v>7770</v>
      </c>
      <c r="C30" s="41">
        <v>648</v>
      </c>
      <c r="D30" s="41">
        <v>605</v>
      </c>
      <c r="E30" s="41">
        <v>599</v>
      </c>
      <c r="F30" s="41">
        <v>608</v>
      </c>
      <c r="G30" s="41">
        <v>570</v>
      </c>
      <c r="H30" s="41">
        <v>585</v>
      </c>
      <c r="I30" s="41">
        <v>613</v>
      </c>
      <c r="J30" s="41">
        <v>1598</v>
      </c>
      <c r="K30" s="41">
        <v>1663</v>
      </c>
      <c r="L30" s="41">
        <v>2178</v>
      </c>
      <c r="M30" s="41">
        <v>1670</v>
      </c>
      <c r="N30" s="41">
        <v>1846</v>
      </c>
      <c r="O30" s="41">
        <v>1931</v>
      </c>
      <c r="P30" s="41">
        <v>2345</v>
      </c>
      <c r="Q30" s="42">
        <v>2026</v>
      </c>
      <c r="R30" s="40">
        <v>2107</v>
      </c>
      <c r="S30" s="40">
        <v>2518</v>
      </c>
      <c r="T30" s="40">
        <v>3500</v>
      </c>
    </row>
    <row r="31" spans="1:20" x14ac:dyDescent="0.25">
      <c r="A31" s="1" t="s">
        <v>31</v>
      </c>
      <c r="B31" s="35">
        <v>7320</v>
      </c>
      <c r="C31" s="41">
        <f>820+1000+1500</f>
        <v>3320</v>
      </c>
      <c r="D31" s="41">
        <v>14044</v>
      </c>
      <c r="E31" s="41">
        <v>7308</v>
      </c>
      <c r="F31" s="41">
        <v>4655</v>
      </c>
      <c r="G31" s="41">
        <v>7906</v>
      </c>
      <c r="H31" s="41">
        <v>2225</v>
      </c>
      <c r="I31" s="41">
        <v>5875</v>
      </c>
      <c r="J31" s="41">
        <v>4159</v>
      </c>
      <c r="K31" s="41">
        <v>3002</v>
      </c>
      <c r="L31" s="41">
        <v>3477</v>
      </c>
      <c r="M31" s="41">
        <v>3623</v>
      </c>
      <c r="N31" s="41">
        <v>3185</v>
      </c>
      <c r="O31" s="41">
        <v>5281</v>
      </c>
      <c r="P31" s="41">
        <v>12383</v>
      </c>
      <c r="Q31" s="42">
        <v>10605</v>
      </c>
      <c r="R31" s="40">
        <v>4149</v>
      </c>
      <c r="S31" s="40">
        <v>11086</v>
      </c>
      <c r="T31" s="40">
        <v>10000</v>
      </c>
    </row>
    <row r="32" spans="1:20" x14ac:dyDescent="0.25">
      <c r="A32" s="51" t="s">
        <v>103</v>
      </c>
      <c r="B32" s="35">
        <v>6420.6421</v>
      </c>
      <c r="C32" s="41"/>
      <c r="D32" s="41"/>
      <c r="E32" s="41"/>
      <c r="F32" s="41">
        <v>1772</v>
      </c>
      <c r="G32" s="41">
        <v>1397</v>
      </c>
      <c r="H32" s="41">
        <v>1398</v>
      </c>
      <c r="I32" s="41">
        <v>1698</v>
      </c>
      <c r="J32" s="41">
        <v>3395</v>
      </c>
      <c r="K32" s="41"/>
      <c r="L32" s="41">
        <v>1697</v>
      </c>
      <c r="M32" s="41">
        <v>1698</v>
      </c>
      <c r="N32" s="41">
        <v>1721</v>
      </c>
      <c r="O32" s="41">
        <v>1750</v>
      </c>
      <c r="P32" s="41">
        <v>4881</v>
      </c>
      <c r="Q32" s="42">
        <v>4090</v>
      </c>
      <c r="R32" s="40">
        <v>4016</v>
      </c>
      <c r="S32" s="40">
        <v>4016</v>
      </c>
      <c r="T32" s="40">
        <v>10800</v>
      </c>
    </row>
    <row r="33" spans="1:20" s="13" customFormat="1" x14ac:dyDescent="0.25">
      <c r="A33" s="16" t="s">
        <v>33</v>
      </c>
      <c r="B33" s="46"/>
      <c r="C33" s="47">
        <f t="shared" ref="C33:S33" si="2">+SUM(C15:C32)</f>
        <v>115151</v>
      </c>
      <c r="D33" s="47">
        <f t="shared" si="2"/>
        <v>132599</v>
      </c>
      <c r="E33" s="47">
        <f t="shared" si="2"/>
        <v>108181</v>
      </c>
      <c r="F33" s="47">
        <f t="shared" si="2"/>
        <v>124091</v>
      </c>
      <c r="G33" s="47">
        <f t="shared" si="2"/>
        <v>111362</v>
      </c>
      <c r="H33" s="47">
        <f t="shared" si="2"/>
        <v>154744</v>
      </c>
      <c r="I33" s="47">
        <f t="shared" si="2"/>
        <v>214473</v>
      </c>
      <c r="J33" s="47">
        <f t="shared" si="2"/>
        <v>232413</v>
      </c>
      <c r="K33" s="47">
        <f t="shared" si="2"/>
        <v>481581</v>
      </c>
      <c r="L33" s="47">
        <f t="shared" si="2"/>
        <v>242162</v>
      </c>
      <c r="M33" s="47">
        <f t="shared" si="2"/>
        <v>217061</v>
      </c>
      <c r="N33" s="47">
        <f t="shared" si="2"/>
        <v>252328</v>
      </c>
      <c r="O33" s="47">
        <f t="shared" si="2"/>
        <v>222907</v>
      </c>
      <c r="P33" s="47">
        <f t="shared" si="2"/>
        <v>270510</v>
      </c>
      <c r="Q33" s="48">
        <f t="shared" si="2"/>
        <v>262489</v>
      </c>
      <c r="R33" s="49">
        <f t="shared" si="2"/>
        <v>224035</v>
      </c>
      <c r="S33" s="49">
        <f t="shared" si="2"/>
        <v>246118</v>
      </c>
      <c r="T33" s="49">
        <f>+SUM(T15:T32)</f>
        <v>169800</v>
      </c>
    </row>
    <row r="34" spans="1:20" x14ac:dyDescent="0.25"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2"/>
      <c r="R34" s="40"/>
      <c r="S34" s="40"/>
      <c r="T34" s="40"/>
    </row>
    <row r="35" spans="1:20" s="13" customFormat="1" x14ac:dyDescent="0.25">
      <c r="A35" s="13" t="s">
        <v>34</v>
      </c>
      <c r="B35" s="52"/>
      <c r="C35" s="43">
        <f t="shared" ref="C35:S35" si="3">+C13-C33</f>
        <v>13659</v>
      </c>
      <c r="D35" s="43">
        <f t="shared" si="3"/>
        <v>-4359</v>
      </c>
      <c r="E35" s="43">
        <f t="shared" si="3"/>
        <v>8519</v>
      </c>
      <c r="F35" s="43">
        <f t="shared" si="3"/>
        <v>10109</v>
      </c>
      <c r="G35" s="43">
        <f t="shared" si="3"/>
        <v>3747</v>
      </c>
      <c r="H35" s="43">
        <f t="shared" si="3"/>
        <v>37386</v>
      </c>
      <c r="I35" s="43">
        <f t="shared" si="3"/>
        <v>-30117</v>
      </c>
      <c r="J35" s="43">
        <f t="shared" si="3"/>
        <v>37136</v>
      </c>
      <c r="K35" s="43">
        <f t="shared" si="3"/>
        <v>-24586</v>
      </c>
      <c r="L35" s="43">
        <f t="shared" si="3"/>
        <v>-685</v>
      </c>
      <c r="M35" s="43">
        <f t="shared" si="3"/>
        <v>23678</v>
      </c>
      <c r="N35" s="43">
        <f t="shared" si="3"/>
        <v>6221</v>
      </c>
      <c r="O35" s="43">
        <f t="shared" si="3"/>
        <v>20799</v>
      </c>
      <c r="P35" s="43">
        <f t="shared" si="3"/>
        <v>3463</v>
      </c>
      <c r="Q35" s="44">
        <f t="shared" si="3"/>
        <v>16120</v>
      </c>
      <c r="R35" s="45">
        <f t="shared" si="3"/>
        <v>42708</v>
      </c>
      <c r="S35" s="45">
        <f t="shared" si="3"/>
        <v>-8818</v>
      </c>
      <c r="T35" s="45">
        <f>+T13-T33</f>
        <v>101700</v>
      </c>
    </row>
    <row r="36" spans="1:20" x14ac:dyDescent="0.25"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2"/>
      <c r="R36" s="40"/>
      <c r="S36" s="40"/>
      <c r="T36" s="40"/>
    </row>
    <row r="37" spans="1:20" x14ac:dyDescent="0.25">
      <c r="A37" s="1" t="s">
        <v>35</v>
      </c>
      <c r="B37" s="35">
        <v>8070</v>
      </c>
      <c r="C37" s="41">
        <v>4389</v>
      </c>
      <c r="D37" s="41">
        <v>4690</v>
      </c>
      <c r="E37" s="41">
        <v>3644</v>
      </c>
      <c r="F37" s="41">
        <v>852</v>
      </c>
      <c r="G37" s="41">
        <v>860</v>
      </c>
      <c r="H37" s="41">
        <v>1730</v>
      </c>
      <c r="I37" s="41">
        <v>4328</v>
      </c>
      <c r="J37" s="41">
        <v>8714</v>
      </c>
      <c r="K37" s="41">
        <v>4757</v>
      </c>
      <c r="L37" s="41">
        <v>4478</v>
      </c>
      <c r="M37" s="41">
        <v>4595</v>
      </c>
      <c r="N37" s="41">
        <v>4148</v>
      </c>
      <c r="O37" s="41">
        <v>5034</v>
      </c>
      <c r="P37" s="41">
        <v>4152</v>
      </c>
      <c r="Q37" s="42">
        <v>2074</v>
      </c>
      <c r="R37" s="40">
        <v>1792</v>
      </c>
      <c r="S37" s="40">
        <v>3118</v>
      </c>
      <c r="T37" s="40">
        <v>2000</v>
      </c>
    </row>
    <row r="38" spans="1:20" x14ac:dyDescent="0.25"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2"/>
      <c r="R38" s="40"/>
      <c r="S38" s="40"/>
      <c r="T38" s="40"/>
    </row>
    <row r="39" spans="1:20" s="13" customFormat="1" ht="12" customHeight="1" x14ac:dyDescent="0.25">
      <c r="A39" s="16" t="s">
        <v>36</v>
      </c>
      <c r="B39" s="46"/>
      <c r="C39" s="47">
        <f t="shared" ref="C39:Q39" si="4">+C35+C37</f>
        <v>18048</v>
      </c>
      <c r="D39" s="47">
        <f t="shared" si="4"/>
        <v>331</v>
      </c>
      <c r="E39" s="47">
        <f t="shared" si="4"/>
        <v>12163</v>
      </c>
      <c r="F39" s="47">
        <f t="shared" si="4"/>
        <v>10961</v>
      </c>
      <c r="G39" s="47">
        <f t="shared" si="4"/>
        <v>4607</v>
      </c>
      <c r="H39" s="47">
        <f t="shared" si="4"/>
        <v>39116</v>
      </c>
      <c r="I39" s="47">
        <f t="shared" si="4"/>
        <v>-25789</v>
      </c>
      <c r="J39" s="47">
        <f t="shared" si="4"/>
        <v>45850</v>
      </c>
      <c r="K39" s="47">
        <f t="shared" si="4"/>
        <v>-19829</v>
      </c>
      <c r="L39" s="47">
        <f t="shared" si="4"/>
        <v>3793</v>
      </c>
      <c r="M39" s="47">
        <f t="shared" si="4"/>
        <v>28273</v>
      </c>
      <c r="N39" s="47">
        <f t="shared" si="4"/>
        <v>10369</v>
      </c>
      <c r="O39" s="47">
        <f t="shared" si="4"/>
        <v>25833</v>
      </c>
      <c r="P39" s="47">
        <f t="shared" si="4"/>
        <v>7615</v>
      </c>
      <c r="Q39" s="48">
        <f t="shared" si="4"/>
        <v>18194</v>
      </c>
      <c r="R39" s="49">
        <f>+R35+R37</f>
        <v>44500</v>
      </c>
      <c r="S39" s="49">
        <f>+S35+S37</f>
        <v>-5700</v>
      </c>
      <c r="T39" s="49">
        <f>+T35+T37</f>
        <v>103700</v>
      </c>
    </row>
    <row r="40" spans="1:20" x14ac:dyDescent="0.25"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2"/>
      <c r="R40" s="40"/>
      <c r="S40" s="40"/>
      <c r="T40" s="40"/>
    </row>
    <row r="41" spans="1:20" x14ac:dyDescent="0.25">
      <c r="A41" s="13" t="s">
        <v>37</v>
      </c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2"/>
      <c r="R41" s="40"/>
      <c r="S41" s="40"/>
      <c r="T41" s="40"/>
    </row>
    <row r="42" spans="1:20" x14ac:dyDescent="0.25">
      <c r="A42" s="1" t="s">
        <v>96</v>
      </c>
      <c r="B42" s="35">
        <v>1350</v>
      </c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>
        <v>2932</v>
      </c>
      <c r="Q42" s="42">
        <v>2932</v>
      </c>
      <c r="R42" s="40">
        <v>2932</v>
      </c>
      <c r="S42" s="40">
        <v>2932</v>
      </c>
      <c r="T42" s="40">
        <v>2932</v>
      </c>
    </row>
    <row r="43" spans="1:20" x14ac:dyDescent="0.25">
      <c r="A43" s="1" t="s">
        <v>38</v>
      </c>
      <c r="B43" s="35">
        <v>1500</v>
      </c>
      <c r="C43" s="41">
        <v>0</v>
      </c>
      <c r="D43" s="41">
        <v>2600</v>
      </c>
      <c r="E43" s="41">
        <v>400</v>
      </c>
      <c r="F43" s="41">
        <v>0</v>
      </c>
      <c r="G43" s="41">
        <v>0</v>
      </c>
      <c r="H43" s="41">
        <v>0</v>
      </c>
      <c r="I43" s="41">
        <v>0</v>
      </c>
      <c r="J43" s="41">
        <v>4600</v>
      </c>
      <c r="K43" s="41">
        <v>0</v>
      </c>
      <c r="L43" s="41">
        <v>14700</v>
      </c>
      <c r="M43" s="41">
        <v>4800</v>
      </c>
      <c r="N43" s="41">
        <v>4500</v>
      </c>
      <c r="O43" s="41">
        <v>6600</v>
      </c>
      <c r="P43" s="41">
        <v>600</v>
      </c>
      <c r="Q43" s="42">
        <v>7200</v>
      </c>
      <c r="R43" s="40">
        <v>0</v>
      </c>
      <c r="S43" s="40"/>
      <c r="T43" s="40">
        <v>0</v>
      </c>
    </row>
    <row r="44" spans="1:20" x14ac:dyDescent="0.25">
      <c r="A44" s="1" t="s">
        <v>104</v>
      </c>
      <c r="C44" s="41"/>
      <c r="D44" s="41">
        <v>10606</v>
      </c>
      <c r="E44" s="41">
        <v>0</v>
      </c>
      <c r="F44" s="41">
        <v>0</v>
      </c>
      <c r="G44" s="41">
        <v>0</v>
      </c>
      <c r="H44" s="41">
        <v>18750</v>
      </c>
      <c r="I44" s="41">
        <v>0</v>
      </c>
      <c r="J44" s="41"/>
      <c r="K44" s="41">
        <v>5521</v>
      </c>
      <c r="L44" s="41">
        <v>2000</v>
      </c>
      <c r="M44" s="41">
        <v>1400</v>
      </c>
      <c r="N44" s="41">
        <v>14108</v>
      </c>
      <c r="O44" s="41">
        <v>1244</v>
      </c>
      <c r="P44" s="41">
        <v>1244</v>
      </c>
      <c r="Q44" s="42">
        <v>0</v>
      </c>
      <c r="R44" s="40">
        <v>0</v>
      </c>
      <c r="S44" s="40">
        <v>75700</v>
      </c>
      <c r="T44" s="40">
        <v>0</v>
      </c>
    </row>
    <row r="45" spans="1:20" x14ac:dyDescent="0.25">
      <c r="A45" s="1" t="s">
        <v>40</v>
      </c>
      <c r="B45" s="35">
        <v>1920.1925000000001</v>
      </c>
      <c r="C45" s="41">
        <f>50639+51541</f>
        <v>102180</v>
      </c>
      <c r="D45" s="41">
        <f>10599+68906</f>
        <v>79505</v>
      </c>
      <c r="E45" s="41">
        <v>96973</v>
      </c>
      <c r="F45" s="41">
        <v>99534</v>
      </c>
      <c r="G45" s="41">
        <v>94941</v>
      </c>
      <c r="H45" s="41">
        <v>235832</v>
      </c>
      <c r="I45" s="41">
        <v>238268</v>
      </c>
      <c r="J45" s="41">
        <v>211518</v>
      </c>
      <c r="K45" s="41">
        <v>347418</v>
      </c>
      <c r="L45" s="41">
        <v>299270</v>
      </c>
      <c r="M45" s="41">
        <v>338355</v>
      </c>
      <c r="N45" s="41">
        <v>364491</v>
      </c>
      <c r="O45" s="41">
        <v>371713</v>
      </c>
      <c r="P45" s="41">
        <v>386296</v>
      </c>
      <c r="Q45" s="42">
        <v>395234</v>
      </c>
      <c r="R45" s="40">
        <v>451934</v>
      </c>
      <c r="S45" s="40">
        <v>370534</v>
      </c>
      <c r="T45" s="40">
        <f>T57-T42</f>
        <v>379934</v>
      </c>
    </row>
    <row r="46" spans="1:20" x14ac:dyDescent="0.25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2"/>
      <c r="R46" s="40"/>
      <c r="S46" s="40"/>
      <c r="T46" s="40"/>
    </row>
    <row r="47" spans="1:20" s="13" customFormat="1" x14ac:dyDescent="0.25">
      <c r="A47" s="16" t="s">
        <v>41</v>
      </c>
      <c r="B47" s="46"/>
      <c r="C47" s="47">
        <f t="shared" ref="C47:O47" si="5">+SUM(C43:C46)</f>
        <v>102180</v>
      </c>
      <c r="D47" s="47">
        <f t="shared" si="5"/>
        <v>92711</v>
      </c>
      <c r="E47" s="47">
        <f t="shared" si="5"/>
        <v>97373</v>
      </c>
      <c r="F47" s="47">
        <f t="shared" si="5"/>
        <v>99534</v>
      </c>
      <c r="G47" s="47">
        <f t="shared" si="5"/>
        <v>94941</v>
      </c>
      <c r="H47" s="47">
        <f t="shared" si="5"/>
        <v>254582</v>
      </c>
      <c r="I47" s="47">
        <f t="shared" si="5"/>
        <v>238268</v>
      </c>
      <c r="J47" s="47">
        <f t="shared" si="5"/>
        <v>216118</v>
      </c>
      <c r="K47" s="47">
        <f t="shared" si="5"/>
        <v>352939</v>
      </c>
      <c r="L47" s="53">
        <f t="shared" si="5"/>
        <v>315970</v>
      </c>
      <c r="M47" s="47">
        <f t="shared" si="5"/>
        <v>344555</v>
      </c>
      <c r="N47" s="47">
        <f t="shared" si="5"/>
        <v>383099</v>
      </c>
      <c r="O47" s="47">
        <f t="shared" si="5"/>
        <v>379557</v>
      </c>
      <c r="P47" s="47">
        <f>+SUM(P42:P46)</f>
        <v>391072</v>
      </c>
      <c r="Q47" s="48">
        <f>+SUM(Q42:Q46)</f>
        <v>405366</v>
      </c>
      <c r="R47" s="49">
        <f>+SUM(R42:R46)</f>
        <v>454866</v>
      </c>
      <c r="S47" s="49">
        <f>+SUM(S42:S46)</f>
        <v>449166</v>
      </c>
      <c r="T47" s="49">
        <f>+SUM(T42:T46)</f>
        <v>382866</v>
      </c>
    </row>
    <row r="48" spans="1:20" x14ac:dyDescent="0.25">
      <c r="C48" s="41"/>
      <c r="D48" s="41"/>
      <c r="E48" s="41"/>
      <c r="F48" s="41"/>
      <c r="G48" s="41"/>
      <c r="H48" s="41"/>
      <c r="I48" s="41"/>
      <c r="J48" s="41"/>
      <c r="K48" s="42"/>
      <c r="L48" s="53" t="s">
        <v>1</v>
      </c>
      <c r="M48" s="54"/>
      <c r="N48" s="54"/>
      <c r="O48" s="54"/>
      <c r="P48" s="54"/>
      <c r="Q48" s="40"/>
      <c r="R48" s="40"/>
      <c r="S48" s="40"/>
      <c r="T48" s="40"/>
    </row>
    <row r="49" spans="1:20" x14ac:dyDescent="0.25">
      <c r="A49" s="1" t="s">
        <v>42</v>
      </c>
      <c r="C49" s="41">
        <f>6000+2300</f>
        <v>8300</v>
      </c>
      <c r="D49" s="41">
        <f>4500+1500</f>
        <v>6000</v>
      </c>
      <c r="E49" s="41">
        <v>6000</v>
      </c>
      <c r="F49" s="41">
        <v>4700</v>
      </c>
      <c r="G49" s="41">
        <v>3000</v>
      </c>
      <c r="H49" s="41">
        <v>3525</v>
      </c>
      <c r="I49" s="41">
        <v>8000</v>
      </c>
      <c r="J49" s="41"/>
      <c r="K49" s="41">
        <f>36650+175000+10000</f>
        <v>221650</v>
      </c>
      <c r="L49" s="41">
        <v>180888</v>
      </c>
      <c r="M49" s="41">
        <v>1200</v>
      </c>
      <c r="N49" s="41">
        <v>29375</v>
      </c>
      <c r="O49" s="41"/>
      <c r="P49" s="41">
        <v>3900</v>
      </c>
      <c r="Q49" s="42">
        <v>0</v>
      </c>
      <c r="R49" s="40">
        <v>0</v>
      </c>
      <c r="S49" s="40"/>
      <c r="T49" s="40">
        <v>0</v>
      </c>
    </row>
    <row r="50" spans="1:20" x14ac:dyDescent="0.25">
      <c r="A50" s="1" t="s">
        <v>43</v>
      </c>
      <c r="B50" s="35">
        <v>2990</v>
      </c>
      <c r="C50" s="41"/>
      <c r="D50" s="41"/>
      <c r="E50" s="41"/>
      <c r="F50" s="41"/>
      <c r="G50" s="41"/>
      <c r="H50" s="41">
        <v>125000</v>
      </c>
      <c r="I50" s="41">
        <v>125000</v>
      </c>
      <c r="J50" s="41">
        <v>65000</v>
      </c>
      <c r="K50" s="41"/>
      <c r="L50" s="41"/>
      <c r="M50" s="41">
        <v>180000</v>
      </c>
      <c r="N50" s="41">
        <v>180000</v>
      </c>
      <c r="O50" s="41">
        <v>180000</v>
      </c>
      <c r="P50" s="41">
        <v>180000</v>
      </c>
      <c r="Q50" s="42">
        <v>180000</v>
      </c>
      <c r="R50" s="40">
        <v>185000</v>
      </c>
      <c r="S50" s="40">
        <v>185000</v>
      </c>
      <c r="T50" s="55">
        <v>15000</v>
      </c>
    </row>
    <row r="51" spans="1:20" x14ac:dyDescent="0.25">
      <c r="A51" s="51" t="s">
        <v>105</v>
      </c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2"/>
      <c r="R51" s="40"/>
      <c r="S51" s="40"/>
      <c r="T51" s="55">
        <v>75000</v>
      </c>
    </row>
    <row r="52" spans="1:20" x14ac:dyDescent="0.25"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2"/>
      <c r="R52" s="40"/>
      <c r="S52" s="40"/>
      <c r="T52" s="40"/>
    </row>
    <row r="53" spans="1:20" x14ac:dyDescent="0.25">
      <c r="A53" s="13" t="s">
        <v>44</v>
      </c>
      <c r="B53" s="35">
        <v>2050</v>
      </c>
      <c r="C53" s="41">
        <v>81332</v>
      </c>
      <c r="D53" s="41">
        <v>93880</v>
      </c>
      <c r="E53" s="41">
        <f>+D55</f>
        <v>94211</v>
      </c>
      <c r="F53" s="41">
        <f>+E55-1</f>
        <v>106373</v>
      </c>
      <c r="G53" s="41">
        <f>+F55</f>
        <v>117334</v>
      </c>
      <c r="H53" s="41">
        <v>91941</v>
      </c>
      <c r="I53" s="41">
        <f t="shared" ref="I53:N53" si="6">+H55</f>
        <v>131057</v>
      </c>
      <c r="J53" s="41">
        <f t="shared" si="6"/>
        <v>105268</v>
      </c>
      <c r="K53" s="41">
        <f t="shared" si="6"/>
        <v>151118</v>
      </c>
      <c r="L53" s="41">
        <f t="shared" si="6"/>
        <v>131289</v>
      </c>
      <c r="M53" s="41">
        <f t="shared" si="6"/>
        <v>135082</v>
      </c>
      <c r="N53" s="41">
        <f t="shared" si="6"/>
        <v>163355</v>
      </c>
      <c r="O53" s="41">
        <f>+N55</f>
        <v>173724</v>
      </c>
      <c r="P53" s="41">
        <f>+O55</f>
        <v>199557</v>
      </c>
      <c r="Q53" s="42">
        <f>+P55</f>
        <v>207172</v>
      </c>
      <c r="R53" s="40">
        <f>+Q55</f>
        <v>225366</v>
      </c>
      <c r="S53" s="40">
        <f>+R55</f>
        <v>269866</v>
      </c>
      <c r="T53" s="40">
        <f>S55</f>
        <v>264166</v>
      </c>
    </row>
    <row r="54" spans="1:20" x14ac:dyDescent="0.25">
      <c r="A54" s="1" t="s">
        <v>45</v>
      </c>
      <c r="C54" s="41">
        <f t="shared" ref="C54:T54" si="7">+C39</f>
        <v>18048</v>
      </c>
      <c r="D54" s="41">
        <f t="shared" si="7"/>
        <v>331</v>
      </c>
      <c r="E54" s="41">
        <f t="shared" si="7"/>
        <v>12163</v>
      </c>
      <c r="F54" s="41">
        <f t="shared" si="7"/>
        <v>10961</v>
      </c>
      <c r="G54" s="41">
        <f t="shared" si="7"/>
        <v>4607</v>
      </c>
      <c r="H54" s="41">
        <f t="shared" si="7"/>
        <v>39116</v>
      </c>
      <c r="I54" s="41">
        <f t="shared" si="7"/>
        <v>-25789</v>
      </c>
      <c r="J54" s="41">
        <f t="shared" si="7"/>
        <v>45850</v>
      </c>
      <c r="K54" s="41">
        <f t="shared" si="7"/>
        <v>-19829</v>
      </c>
      <c r="L54" s="41">
        <f t="shared" si="7"/>
        <v>3793</v>
      </c>
      <c r="M54" s="41">
        <f t="shared" si="7"/>
        <v>28273</v>
      </c>
      <c r="N54" s="41">
        <f t="shared" si="7"/>
        <v>10369</v>
      </c>
      <c r="O54" s="41">
        <f t="shared" si="7"/>
        <v>25833</v>
      </c>
      <c r="P54" s="41">
        <f t="shared" si="7"/>
        <v>7615</v>
      </c>
      <c r="Q54" s="42">
        <f t="shared" si="7"/>
        <v>18194</v>
      </c>
      <c r="R54" s="40">
        <f t="shared" si="7"/>
        <v>44500</v>
      </c>
      <c r="S54" s="40">
        <f t="shared" si="7"/>
        <v>-5700</v>
      </c>
      <c r="T54" s="40">
        <f t="shared" si="7"/>
        <v>103700</v>
      </c>
    </row>
    <row r="55" spans="1:20" x14ac:dyDescent="0.25">
      <c r="A55" s="1" t="s">
        <v>46</v>
      </c>
      <c r="C55" s="41">
        <f t="shared" ref="C55:S55" si="8">+C53+C54</f>
        <v>99380</v>
      </c>
      <c r="D55" s="41">
        <f t="shared" si="8"/>
        <v>94211</v>
      </c>
      <c r="E55" s="41">
        <f t="shared" si="8"/>
        <v>106374</v>
      </c>
      <c r="F55" s="41">
        <f t="shared" si="8"/>
        <v>117334</v>
      </c>
      <c r="G55" s="41">
        <f t="shared" si="8"/>
        <v>121941</v>
      </c>
      <c r="H55" s="41">
        <f t="shared" si="8"/>
        <v>131057</v>
      </c>
      <c r="I55" s="41">
        <f t="shared" si="8"/>
        <v>105268</v>
      </c>
      <c r="J55" s="41">
        <f t="shared" si="8"/>
        <v>151118</v>
      </c>
      <c r="K55" s="41">
        <f t="shared" si="8"/>
        <v>131289</v>
      </c>
      <c r="L55" s="41">
        <f t="shared" si="8"/>
        <v>135082</v>
      </c>
      <c r="M55" s="41">
        <f t="shared" si="8"/>
        <v>163355</v>
      </c>
      <c r="N55" s="41">
        <f t="shared" si="8"/>
        <v>173724</v>
      </c>
      <c r="O55" s="41">
        <f t="shared" si="8"/>
        <v>199557</v>
      </c>
      <c r="P55" s="41">
        <f t="shared" si="8"/>
        <v>207172</v>
      </c>
      <c r="Q55" s="42">
        <f>+Q53+Q54</f>
        <v>225366</v>
      </c>
      <c r="R55" s="40">
        <f t="shared" si="8"/>
        <v>269866</v>
      </c>
      <c r="S55" s="40">
        <f t="shared" si="8"/>
        <v>264166</v>
      </c>
      <c r="T55" s="40">
        <f>+T53+T54</f>
        <v>367866</v>
      </c>
    </row>
    <row r="56" spans="1:20" x14ac:dyDescent="0.25"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42"/>
      <c r="R56" s="40"/>
      <c r="S56" s="40"/>
      <c r="T56" s="40"/>
    </row>
    <row r="57" spans="1:20" s="13" customFormat="1" x14ac:dyDescent="0.25">
      <c r="A57" s="16" t="s">
        <v>47</v>
      </c>
      <c r="B57" s="46"/>
      <c r="C57" s="47">
        <f>+C49+C55</f>
        <v>107680</v>
      </c>
      <c r="D57" s="47">
        <f>+D49+D55</f>
        <v>100211</v>
      </c>
      <c r="E57" s="47">
        <f>+E49+E55</f>
        <v>112374</v>
      </c>
      <c r="F57" s="47">
        <f>+F49+F55</f>
        <v>122034</v>
      </c>
      <c r="G57" s="47">
        <f>+G49+G55</f>
        <v>124941</v>
      </c>
      <c r="H57" s="47">
        <f t="shared" ref="H57:S57" si="9">+H49+H50+H55</f>
        <v>259582</v>
      </c>
      <c r="I57" s="47">
        <f t="shared" si="9"/>
        <v>238268</v>
      </c>
      <c r="J57" s="47">
        <f t="shared" si="9"/>
        <v>216118</v>
      </c>
      <c r="K57" s="47">
        <f t="shared" si="9"/>
        <v>352939</v>
      </c>
      <c r="L57" s="47">
        <f t="shared" si="9"/>
        <v>315970</v>
      </c>
      <c r="M57" s="47">
        <f t="shared" si="9"/>
        <v>344555</v>
      </c>
      <c r="N57" s="47">
        <f t="shared" si="9"/>
        <v>383099</v>
      </c>
      <c r="O57" s="47">
        <f t="shared" si="9"/>
        <v>379557</v>
      </c>
      <c r="P57" s="47">
        <f t="shared" si="9"/>
        <v>391072</v>
      </c>
      <c r="Q57" s="48">
        <f t="shared" si="9"/>
        <v>405366</v>
      </c>
      <c r="R57" s="49">
        <f t="shared" si="9"/>
        <v>454866</v>
      </c>
      <c r="S57" s="49">
        <f t="shared" si="9"/>
        <v>449166</v>
      </c>
      <c r="T57" s="49">
        <f>+T49+T50+T55</f>
        <v>382866</v>
      </c>
    </row>
    <row r="59" spans="1:20" ht="13.5" customHeight="1" x14ac:dyDescent="0.25"/>
    <row r="60" spans="1:20" hidden="1" x14ac:dyDescent="0.25">
      <c r="A60" s="1" t="s">
        <v>49</v>
      </c>
      <c r="C60" s="1">
        <f>+C8/2</f>
        <v>59400</v>
      </c>
      <c r="D60" s="1">
        <f>+D8/2</f>
        <v>59600</v>
      </c>
      <c r="E60" s="1">
        <f>+E8/2</f>
        <v>55800</v>
      </c>
      <c r="F60" s="1">
        <f>+F8/2</f>
        <v>61000</v>
      </c>
      <c r="G60" s="1">
        <f>+G8/2-100</f>
        <v>54400</v>
      </c>
      <c r="H60" s="1">
        <f>+H8/2-100</f>
        <v>54800</v>
      </c>
      <c r="I60" s="1">
        <f>+I8/2</f>
        <v>54500</v>
      </c>
      <c r="R60" s="1">
        <f>+R8/2</f>
        <v>95700</v>
      </c>
      <c r="T60" s="1">
        <f>+T8/2</f>
        <v>105750</v>
      </c>
    </row>
    <row r="61" spans="1:20" hidden="1" x14ac:dyDescent="0.25">
      <c r="A61" s="1" t="s">
        <v>50</v>
      </c>
      <c r="H61" s="1">
        <v>45200</v>
      </c>
      <c r="I61" s="1">
        <v>34800</v>
      </c>
      <c r="R61" s="1">
        <v>45000</v>
      </c>
      <c r="T61" s="1">
        <v>45000</v>
      </c>
    </row>
    <row r="62" spans="1:20" hidden="1" x14ac:dyDescent="0.25">
      <c r="A62" s="1" t="s">
        <v>51</v>
      </c>
      <c r="C62" s="1">
        <v>15000</v>
      </c>
      <c r="D62" s="1">
        <v>15000</v>
      </c>
      <c r="E62" s="1">
        <v>15000</v>
      </c>
      <c r="F62" s="1">
        <v>15000</v>
      </c>
      <c r="G62" s="1">
        <v>15000</v>
      </c>
      <c r="H62" s="1">
        <v>15000</v>
      </c>
      <c r="I62" s="1">
        <v>15000</v>
      </c>
      <c r="R62" s="1">
        <v>15000</v>
      </c>
      <c r="T62" s="1">
        <v>15000</v>
      </c>
    </row>
    <row r="63" spans="1:20" hidden="1" x14ac:dyDescent="0.25">
      <c r="A63" s="13" t="s">
        <v>52</v>
      </c>
      <c r="C63" s="13">
        <f>+C60+C62</f>
        <v>74400</v>
      </c>
      <c r="D63" s="13">
        <f>+D60+D62</f>
        <v>74600</v>
      </c>
      <c r="E63" s="13">
        <f>+E60+E62</f>
        <v>70800</v>
      </c>
      <c r="F63" s="13">
        <f>+F60+F62</f>
        <v>76000</v>
      </c>
      <c r="G63" s="13">
        <f>+G60+G62</f>
        <v>69400</v>
      </c>
      <c r="H63" s="13">
        <f>+H60+H62+H61</f>
        <v>115000</v>
      </c>
      <c r="I63" s="13">
        <f>+I60+I62+I61</f>
        <v>104300</v>
      </c>
      <c r="J63" s="13"/>
      <c r="K63" s="13"/>
      <c r="L63" s="13"/>
      <c r="M63" s="13"/>
      <c r="N63" s="13"/>
      <c r="O63" s="13"/>
      <c r="P63" s="13"/>
      <c r="Q63" s="13"/>
      <c r="R63" s="13">
        <f>+R60+R62+R61</f>
        <v>155700</v>
      </c>
      <c r="S63" s="13"/>
      <c r="T63" s="13">
        <f>+T60+T62+T61</f>
        <v>165750</v>
      </c>
    </row>
    <row r="65" spans="1:13" x14ac:dyDescent="0.25">
      <c r="A65" s="1" t="s">
        <v>97</v>
      </c>
      <c r="C65" s="1" t="s">
        <v>1</v>
      </c>
      <c r="D65" s="1" t="s">
        <v>1</v>
      </c>
      <c r="E65" s="1" t="s">
        <v>1</v>
      </c>
      <c r="I65" s="1" t="s">
        <v>1</v>
      </c>
      <c r="J65" s="1" t="s">
        <v>1</v>
      </c>
      <c r="L65" s="1" t="s">
        <v>1</v>
      </c>
      <c r="M65" s="1" t="s">
        <v>1</v>
      </c>
    </row>
    <row r="66" spans="1:13" x14ac:dyDescent="0.25">
      <c r="A66" s="1" t="s">
        <v>56</v>
      </c>
      <c r="C66" s="1" t="s">
        <v>1</v>
      </c>
      <c r="D66" s="1" t="s">
        <v>1</v>
      </c>
      <c r="E66" s="1" t="s">
        <v>1</v>
      </c>
      <c r="I66" s="1" t="s">
        <v>1</v>
      </c>
      <c r="J66" s="1" t="s">
        <v>1</v>
      </c>
      <c r="L66" s="1" t="s">
        <v>1</v>
      </c>
      <c r="M66" s="1" t="s">
        <v>1</v>
      </c>
    </row>
    <row r="67" spans="1:13" x14ac:dyDescent="0.25">
      <c r="A67" s="1" t="s">
        <v>1</v>
      </c>
      <c r="C67" s="1" t="s">
        <v>1</v>
      </c>
      <c r="D67" s="1" t="s">
        <v>1</v>
      </c>
      <c r="E67" s="1" t="s">
        <v>1</v>
      </c>
    </row>
  </sheetData>
  <sheetProtection selectLockedCells="1" selectUnlockedCells="1"/>
  <mergeCells count="1">
    <mergeCell ref="A1:T1"/>
  </mergeCells>
  <printOptions gridLines="1"/>
  <pageMargins left="0.70833333333333337" right="0.70833333333333337" top="0.74791666666666667" bottom="0.74791666666666667" header="0.51180555555555551" footer="0.51180555555555551"/>
  <pageSetup paperSize="9" scale="79" firstPageNumber="0" orientation="portrait" horizontalDpi="300" verticalDpi="300"/>
  <headerFooter alignWithMargins="0"/>
</worksheet>
</file>

<file path=docMetadata/LabelInfo.xml><?xml version="1.0" encoding="utf-8"?>
<clbl:labelList xmlns:clbl="http://schemas.microsoft.com/office/2020/mipLabelMetadata">
  <clbl:label id="{5d7f2f1d-22b0-4b65-ac50-06820d127ee2}" enabled="1" method="Privileged" siteId="{e1ae18b6-de6f-4b87-a2fc-90d6217d954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8</vt:i4>
      </vt:variant>
    </vt:vector>
  </HeadingPairs>
  <TitlesOfParts>
    <vt:vector size="8" baseType="lpstr">
      <vt:lpstr>2024</vt:lpstr>
      <vt:lpstr>06-07</vt:lpstr>
      <vt:lpstr>Mid 08</vt:lpstr>
      <vt:lpstr>07-08</vt:lpstr>
      <vt:lpstr>08-09</vt:lpstr>
      <vt:lpstr>09-10</vt:lpstr>
      <vt:lpstr>-18</vt:lpstr>
      <vt:lpstr>18-19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 Bjugan</dc:creator>
  <cp:lastModifiedBy>Sidsel Nordhagen</cp:lastModifiedBy>
  <cp:lastPrinted>2020-02-19T20:37:46Z</cp:lastPrinted>
  <dcterms:created xsi:type="dcterms:W3CDTF">2022-05-23T19:56:20Z</dcterms:created>
  <dcterms:modified xsi:type="dcterms:W3CDTF">2025-03-14T20:18:21Z</dcterms:modified>
</cp:coreProperties>
</file>